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45" yWindow="1530" windowWidth="8610" windowHeight="5340" activeTab="5"/>
  </bookViews>
  <sheets>
    <sheet name="total and gender " sheetId="1" r:id="rId1"/>
    <sheet name="επαρχία " sheetId="3" r:id="rId2"/>
    <sheet name="οικονομική " sheetId="5" r:id="rId3"/>
    <sheet name="επάγγελμα" sheetId="6" r:id="rId4"/>
    <sheet name="ηλικία " sheetId="8" r:id="rId5"/>
    <sheet name="διάρκεια " sheetId="7" r:id="rId6"/>
    <sheet name="υπηκοότητα " sheetId="11" r:id="rId7"/>
    <sheet name="μόρφωση" sheetId="13" r:id="rId8"/>
    <sheet name="Sheet1" sheetId="14" state="hidden" r:id="rId9"/>
  </sheets>
  <definedNames>
    <definedName name="_xlnm.Print_Area" localSheetId="5">'διάρκεια '!$A$34:$A$44</definedName>
    <definedName name="_xlnm.Print_Area" localSheetId="4">'ηλικία '!$A$1:$A$44</definedName>
  </definedNames>
  <calcPr calcId="145621"/>
</workbook>
</file>

<file path=xl/calcChain.xml><?xml version="1.0" encoding="utf-8"?>
<calcChain xmlns="http://schemas.openxmlformats.org/spreadsheetml/2006/main">
  <c r="AR9" i="13" l="1"/>
  <c r="BP5" i="11"/>
  <c r="AR7" i="8"/>
  <c r="AR3" i="8"/>
  <c r="AR8" i="13" l="1"/>
  <c r="AR5" i="13"/>
  <c r="BS4" i="11"/>
  <c r="BT4" i="11" s="1"/>
  <c r="BS5" i="11"/>
  <c r="BT5" i="11" s="1"/>
  <c r="BS6" i="11"/>
  <c r="BT6" i="11" s="1"/>
  <c r="BS7" i="11"/>
  <c r="BT7" i="11" s="1"/>
  <c r="BS8" i="11"/>
  <c r="BT8" i="11" s="1"/>
  <c r="BS9" i="11"/>
  <c r="BT9" i="11" s="1"/>
  <c r="BS3" i="11"/>
  <c r="BT3" i="11" s="1"/>
  <c r="BR7" i="11"/>
  <c r="BR9" i="11"/>
  <c r="BQ4" i="11"/>
  <c r="BR4" i="11" s="1"/>
  <c r="BQ5" i="11"/>
  <c r="BR5" i="11" s="1"/>
  <c r="BQ6" i="11"/>
  <c r="BR6" i="11" s="1"/>
  <c r="BQ7" i="11"/>
  <c r="BQ8" i="11"/>
  <c r="BR8" i="11" s="1"/>
  <c r="BQ9" i="11"/>
  <c r="BQ3" i="11"/>
  <c r="BR3" i="11" s="1"/>
  <c r="BP10" i="11"/>
  <c r="BS10" i="11" s="1"/>
  <c r="BT10" i="11" s="1"/>
  <c r="AU4" i="7"/>
  <c r="AU6" i="7"/>
  <c r="AU7" i="7"/>
  <c r="AU8" i="7"/>
  <c r="AU3" i="7"/>
  <c r="AT7" i="7"/>
  <c r="AS4" i="7"/>
  <c r="AT4" i="7" s="1"/>
  <c r="AS6" i="7"/>
  <c r="AT6" i="7" s="1"/>
  <c r="AS7" i="7"/>
  <c r="AS8" i="7"/>
  <c r="AT8" i="7" s="1"/>
  <c r="AS3" i="7"/>
  <c r="AT3" i="7" s="1"/>
  <c r="AR10" i="7"/>
  <c r="AU10" i="7" s="1"/>
  <c r="AR9" i="7"/>
  <c r="AU9" i="7" s="1"/>
  <c r="AR5" i="7"/>
  <c r="AU5" i="7" s="1"/>
  <c r="AT4" i="8"/>
  <c r="AT5" i="8"/>
  <c r="AT6" i="8"/>
  <c r="AT7" i="8"/>
  <c r="AT8" i="8"/>
  <c r="AT9" i="8"/>
  <c r="AT3" i="8"/>
  <c r="AS4" i="8"/>
  <c r="AS5" i="8"/>
  <c r="AS6" i="8"/>
  <c r="AS7" i="8"/>
  <c r="AS8" i="8"/>
  <c r="AS9" i="8"/>
  <c r="AS3" i="8"/>
  <c r="AR10" i="8"/>
  <c r="AT10" i="8" s="1"/>
  <c r="AS14" i="6"/>
  <c r="AU4" i="5"/>
  <c r="AU5" i="5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3" i="5"/>
  <c r="AT19" i="5"/>
  <c r="AU19" i="5" s="1"/>
  <c r="AS4" i="3"/>
  <c r="AS5" i="3"/>
  <c r="AS6" i="3"/>
  <c r="AS7" i="3"/>
  <c r="AS3" i="3"/>
  <c r="AR8" i="3"/>
  <c r="AS8" i="3" s="1"/>
  <c r="E45" i="1"/>
  <c r="D45" i="1"/>
  <c r="C45" i="1"/>
  <c r="BQ10" i="11" l="1"/>
  <c r="BR10" i="11" s="1"/>
  <c r="AS9" i="7"/>
  <c r="AT9" i="7" s="1"/>
  <c r="AS10" i="7"/>
  <c r="AT10" i="7" s="1"/>
  <c r="AS5" i="7"/>
  <c r="AT5" i="7" s="1"/>
  <c r="AS10" i="8"/>
  <c r="AR11" i="13"/>
  <c r="AQ11" i="13"/>
  <c r="AQ9" i="13"/>
  <c r="AQ8" i="13"/>
  <c r="AQ5" i="13"/>
  <c r="BO10" i="11"/>
  <c r="BO5" i="11"/>
  <c r="AQ10" i="7"/>
  <c r="AQ9" i="7"/>
  <c r="AQ5" i="7"/>
  <c r="AQ10" i="8"/>
  <c r="AQ7" i="8"/>
  <c r="AQ3" i="8"/>
  <c r="AR14" i="6"/>
  <c r="AS19" i="5"/>
  <c r="AS18" i="5"/>
  <c r="AS17" i="5"/>
  <c r="AQ8" i="3" l="1"/>
  <c r="AP9" i="13" l="1"/>
  <c r="AP8" i="13"/>
  <c r="AP5" i="13"/>
  <c r="BN5" i="11"/>
  <c r="BN10" i="11"/>
  <c r="AP10" i="7"/>
  <c r="AP9" i="7"/>
  <c r="AP5" i="7"/>
  <c r="AP7" i="8"/>
  <c r="AP3" i="8"/>
  <c r="AP11" i="13" l="1"/>
  <c r="AP10" i="8"/>
  <c r="AQ14" i="6"/>
  <c r="AR19" i="5" l="1"/>
  <c r="AP8" i="3"/>
  <c r="AO9" i="13" l="1"/>
  <c r="BM5" i="11"/>
  <c r="AO7" i="8"/>
  <c r="AO10" i="8" s="1"/>
  <c r="AO3" i="8"/>
  <c r="AO10" i="7" l="1"/>
  <c r="AO9" i="7"/>
  <c r="AO8" i="13" l="1"/>
  <c r="AO5" i="13"/>
  <c r="BM10" i="11"/>
  <c r="AO5" i="7"/>
  <c r="AP14" i="6"/>
  <c r="AQ19" i="5"/>
  <c r="AO8" i="3"/>
  <c r="AO11" i="13" l="1"/>
  <c r="AN9" i="13"/>
  <c r="BL5" i="11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Y10" i="7"/>
  <c r="AN10" i="7"/>
  <c r="AN9" i="7"/>
  <c r="AN7" i="8"/>
  <c r="AN3" i="8"/>
  <c r="AN5" i="13" l="1"/>
  <c r="AN11" i="13" s="1"/>
  <c r="AN8" i="13"/>
  <c r="BL10" i="11"/>
  <c r="AN5" i="7"/>
  <c r="AN10" i="8"/>
  <c r="AO14" i="6"/>
  <c r="AP19" i="5"/>
  <c r="AN8" i="3"/>
  <c r="AA5" i="7" l="1"/>
  <c r="AB5" i="7"/>
  <c r="AC5" i="7"/>
  <c r="AD5" i="7"/>
  <c r="AE5" i="7"/>
  <c r="AF5" i="7"/>
  <c r="AG5" i="7"/>
  <c r="AH5" i="7"/>
  <c r="AI5" i="7"/>
  <c r="AJ5" i="7"/>
  <c r="AK5" i="7"/>
  <c r="AL5" i="7"/>
  <c r="AM5" i="7"/>
  <c r="Z5" i="7"/>
  <c r="AM9" i="13" l="1"/>
  <c r="BK5" i="11"/>
  <c r="AM9" i="7"/>
  <c r="AM7" i="8"/>
  <c r="AM3" i="8"/>
  <c r="AM8" i="13" l="1"/>
  <c r="AM5" i="13"/>
  <c r="BK10" i="11"/>
  <c r="AM10" i="8"/>
  <c r="AN14" i="6"/>
  <c r="AO19" i="5"/>
  <c r="AM8" i="3"/>
  <c r="AM11" i="13" l="1"/>
  <c r="AL9" i="13"/>
  <c r="BJ5" i="11"/>
  <c r="AL9" i="7"/>
  <c r="AL7" i="8"/>
  <c r="AL3" i="8"/>
  <c r="AL8" i="13" l="1"/>
  <c r="AL5" i="13"/>
  <c r="BJ10" i="11"/>
  <c r="AL10" i="8"/>
  <c r="AM14" i="6"/>
  <c r="AN19" i="5"/>
  <c r="AL8" i="3"/>
  <c r="AL11" i="13" l="1"/>
  <c r="AK9" i="13"/>
  <c r="AK8" i="13"/>
  <c r="AK5" i="13"/>
  <c r="BI10" i="11"/>
  <c r="BI5" i="11"/>
  <c r="AK9" i="7"/>
  <c r="AK7" i="8"/>
  <c r="AK3" i="8"/>
  <c r="AK10" i="8" s="1"/>
  <c r="AL14" i="6"/>
  <c r="AK11" i="13" l="1"/>
  <c r="AM19" i="5"/>
  <c r="AK8" i="3"/>
  <c r="AJ9" i="13" l="1"/>
  <c r="AJ8" i="13"/>
  <c r="AJ5" i="13"/>
  <c r="BH10" i="11"/>
  <c r="BH5" i="11"/>
  <c r="AJ9" i="7"/>
  <c r="AJ7" i="8"/>
  <c r="AJ3" i="8"/>
  <c r="AJ10" i="8"/>
  <c r="AK14" i="6"/>
  <c r="AJ11" i="13" l="1"/>
  <c r="AL19" i="5"/>
  <c r="AJ8" i="3"/>
  <c r="AI9" i="13" l="1"/>
  <c r="BG5" i="11"/>
  <c r="AI9" i="7" l="1"/>
  <c r="AI3" i="8"/>
  <c r="AI8" i="13" l="1"/>
  <c r="AI5" i="13"/>
  <c r="BG10" i="11"/>
  <c r="AI10" i="8"/>
  <c r="AJ14" i="6"/>
  <c r="AK19" i="5"/>
  <c r="AI8" i="3"/>
  <c r="AI11" i="13" l="1"/>
  <c r="AH9" i="13"/>
  <c r="AH8" i="13"/>
  <c r="AH5" i="13"/>
  <c r="BF5" i="11"/>
  <c r="AH9" i="7"/>
  <c r="AH7" i="8"/>
  <c r="AH3" i="8"/>
  <c r="AH11" i="13" l="1"/>
  <c r="BF10" i="11"/>
  <c r="AH10" i="8"/>
  <c r="AI14" i="6"/>
  <c r="AJ19" i="5"/>
  <c r="AH8" i="3"/>
  <c r="AG9" i="13" l="1"/>
  <c r="AG9" i="7"/>
  <c r="AG7" i="8"/>
  <c r="AG3" i="8"/>
  <c r="AG8" i="13" l="1"/>
  <c r="AG5" i="13"/>
  <c r="BE10" i="11"/>
  <c r="AG10" i="8"/>
  <c r="AH14" i="6"/>
  <c r="AG11" i="13" l="1"/>
  <c r="AI19" i="5"/>
  <c r="AG8" i="3"/>
  <c r="AF9" i="13" l="1"/>
  <c r="AF9" i="7"/>
  <c r="AF7" i="8"/>
  <c r="AF3" i="8"/>
  <c r="AF8" i="13" l="1"/>
  <c r="AF5" i="13"/>
  <c r="AF11" i="13" s="1"/>
  <c r="BD10" i="11"/>
  <c r="AF10" i="8"/>
  <c r="AG14" i="6"/>
  <c r="AH19" i="5"/>
  <c r="AF8" i="3"/>
  <c r="AE9" i="13" l="1"/>
  <c r="AE8" i="13"/>
  <c r="AE5" i="13"/>
  <c r="BC5" i="11"/>
  <c r="BC10" i="11"/>
  <c r="AE9" i="7"/>
  <c r="AE7" i="8"/>
  <c r="AE10" i="8"/>
  <c r="AE3" i="8"/>
  <c r="AF14" i="6"/>
  <c r="AE11" i="13" l="1"/>
  <c r="AG19" i="5"/>
  <c r="AE8" i="3"/>
  <c r="AD9" i="13" l="1"/>
  <c r="BB5" i="11"/>
  <c r="AD9" i="7"/>
  <c r="AC9" i="7"/>
  <c r="AD7" i="8"/>
  <c r="AD10" i="8"/>
  <c r="AD3" i="8"/>
  <c r="AD5" i="13" l="1"/>
  <c r="AD8" i="13"/>
  <c r="BB10" i="11"/>
  <c r="AD14" i="6"/>
  <c r="AE14" i="6"/>
  <c r="AE19" i="5"/>
  <c r="AF19" i="5"/>
  <c r="AD8" i="3"/>
  <c r="AD11" i="13" l="1"/>
  <c r="AC9" i="13" l="1"/>
  <c r="AC8" i="13"/>
  <c r="AC5" i="13"/>
  <c r="BA5" i="11"/>
  <c r="BA10" i="11" s="1"/>
  <c r="AC7" i="8"/>
  <c r="AC3" i="8"/>
  <c r="AC10" i="8" s="1"/>
  <c r="AC11" i="13" l="1"/>
  <c r="AC8" i="3"/>
  <c r="AB9" i="13" l="1"/>
  <c r="AA9" i="13"/>
  <c r="AB8" i="13"/>
  <c r="AB5" i="13"/>
  <c r="AZ5" i="11"/>
  <c r="AB9" i="7"/>
  <c r="AB7" i="8"/>
  <c r="AB3" i="8"/>
  <c r="AB10" i="8"/>
  <c r="AC14" i="6"/>
  <c r="AZ10" i="11" l="1"/>
  <c r="AB11" i="13"/>
  <c r="AD19" i="5"/>
  <c r="AB8" i="3"/>
  <c r="AA8" i="13" l="1"/>
  <c r="AA5" i="13"/>
  <c r="AY5" i="11"/>
  <c r="AA9" i="7"/>
  <c r="AA7" i="8"/>
  <c r="AA10" i="8" s="1"/>
  <c r="AA3" i="8"/>
  <c r="AY10" i="11"/>
  <c r="AB14" i="6"/>
  <c r="AA11" i="13" l="1"/>
  <c r="AC19" i="5"/>
  <c r="AA8" i="3"/>
  <c r="Z9" i="13" l="1"/>
  <c r="AX5" i="11"/>
  <c r="Z9" i="7"/>
  <c r="Z7" i="8"/>
  <c r="Z3" i="8"/>
  <c r="Z3" i="3" l="1"/>
  <c r="Z5" i="13" l="1"/>
  <c r="Z8" i="13"/>
  <c r="AX10" i="11"/>
  <c r="Z10" i="8"/>
  <c r="AA14" i="6"/>
  <c r="AB19" i="5"/>
  <c r="Z8" i="3"/>
  <c r="Z11" i="13" l="1"/>
  <c r="Y9" i="13"/>
  <c r="AW5" i="11"/>
  <c r="Y9" i="7"/>
  <c r="Y7" i="8"/>
  <c r="Y3" i="8"/>
  <c r="Y8" i="13" l="1"/>
  <c r="Y5" i="13"/>
  <c r="AW10" i="11"/>
  <c r="Y10" i="8"/>
  <c r="Z14" i="6"/>
  <c r="AA19" i="5"/>
  <c r="Y8" i="3"/>
  <c r="Y11" i="13" l="1"/>
  <c r="X7" i="8"/>
  <c r="X3" i="8"/>
  <c r="X9" i="13" l="1"/>
  <c r="X8" i="13"/>
  <c r="AV5" i="11"/>
  <c r="AV10" i="11" s="1"/>
  <c r="X5" i="13"/>
  <c r="X9" i="7"/>
  <c r="X10" i="7"/>
  <c r="X10" i="8"/>
  <c r="Y14" i="6"/>
  <c r="X11" i="13" l="1"/>
  <c r="Z19" i="5"/>
  <c r="X8" i="3"/>
  <c r="W9" i="13" l="1"/>
  <c r="AU5" i="11"/>
  <c r="W7" i="8"/>
  <c r="W3" i="8"/>
  <c r="W5" i="13" l="1"/>
  <c r="W8" i="13"/>
  <c r="W11" i="13"/>
  <c r="AU10" i="11"/>
  <c r="W9" i="7"/>
  <c r="W10" i="7"/>
  <c r="W10" i="8"/>
  <c r="X14" i="6"/>
  <c r="Y19" i="5"/>
  <c r="W8" i="3"/>
  <c r="V9" i="13" l="1"/>
  <c r="V8" i="13"/>
  <c r="V5" i="13"/>
  <c r="V11" i="13" s="1"/>
  <c r="AT10" i="11"/>
  <c r="V10" i="7"/>
  <c r="V9" i="7"/>
  <c r="X19" i="5"/>
  <c r="W14" i="6"/>
  <c r="V7" i="8" l="1"/>
  <c r="V3" i="8"/>
  <c r="V10" i="8" s="1"/>
  <c r="V8" i="3"/>
  <c r="U9" i="13" l="1"/>
  <c r="U5" i="13"/>
  <c r="U7" i="8"/>
  <c r="U8" i="13" l="1"/>
  <c r="U11" i="13" s="1"/>
  <c r="AS10" i="11"/>
  <c r="U9" i="7"/>
  <c r="U10" i="7"/>
  <c r="U10" i="8"/>
  <c r="V14" i="6"/>
  <c r="W19" i="5"/>
  <c r="U8" i="3"/>
  <c r="AR5" i="11" l="1"/>
  <c r="T9" i="13" l="1"/>
  <c r="T8" i="13" l="1"/>
  <c r="T5" i="13"/>
  <c r="AQ10" i="11"/>
  <c r="AR10" i="11"/>
  <c r="T9" i="7"/>
  <c r="T10" i="7"/>
  <c r="T10" i="8"/>
  <c r="U14" i="6"/>
  <c r="V19" i="5"/>
  <c r="T8" i="3"/>
  <c r="T11" i="13" l="1"/>
  <c r="S9" i="13"/>
  <c r="S7" i="8"/>
  <c r="S5" i="13" l="1"/>
  <c r="S8" i="13"/>
  <c r="S9" i="7"/>
  <c r="S10" i="7"/>
  <c r="S10" i="8"/>
  <c r="T14" i="6"/>
  <c r="U19" i="5"/>
  <c r="S8" i="3"/>
  <c r="S11" i="13" l="1"/>
  <c r="R9" i="13"/>
  <c r="AP5" i="11"/>
  <c r="R7" i="8"/>
  <c r="R3" i="8"/>
  <c r="R8" i="13" l="1"/>
  <c r="R5" i="13"/>
  <c r="R11" i="13" s="1"/>
  <c r="AP10" i="11"/>
  <c r="R9" i="7"/>
  <c r="R10" i="7"/>
  <c r="R10" i="8"/>
  <c r="S14" i="6"/>
  <c r="T19" i="5"/>
  <c r="R8" i="3"/>
  <c r="Q9" i="13" l="1"/>
  <c r="Q8" i="13"/>
  <c r="Q5" i="13"/>
  <c r="AO10" i="11"/>
  <c r="Q9" i="7"/>
  <c r="Q10" i="7"/>
  <c r="Q7" i="8"/>
  <c r="Q3" i="8"/>
  <c r="R14" i="6"/>
  <c r="Q10" i="8" l="1"/>
  <c r="Q11" i="13"/>
  <c r="S19" i="5"/>
  <c r="Q8" i="3"/>
  <c r="P9" i="13" l="1"/>
  <c r="P5" i="13"/>
  <c r="P8" i="13"/>
  <c r="AN5" i="11"/>
  <c r="AN10" i="11" s="1"/>
  <c r="P9" i="7"/>
  <c r="P10" i="7"/>
  <c r="P7" i="8"/>
  <c r="P3" i="8"/>
  <c r="Q14" i="6"/>
  <c r="P11" i="13" l="1"/>
  <c r="P10" i="8"/>
  <c r="R19" i="5"/>
  <c r="P8" i="3"/>
  <c r="O9" i="7" l="1"/>
  <c r="O9" i="13" l="1"/>
  <c r="O8" i="13"/>
  <c r="O5" i="13"/>
  <c r="O11" i="13" s="1"/>
  <c r="AM5" i="11"/>
  <c r="AM10" i="11" s="1"/>
  <c r="O7" i="8"/>
  <c r="O3" i="8"/>
  <c r="O10" i="8" s="1"/>
  <c r="P14" i="6"/>
  <c r="Q19" i="5" l="1"/>
  <c r="O8" i="3"/>
  <c r="O10" i="7"/>
  <c r="N9" i="13" l="1"/>
  <c r="AL5" i="11"/>
  <c r="N9" i="7"/>
  <c r="N7" i="8"/>
  <c r="N3" i="8"/>
  <c r="N8" i="13" l="1"/>
  <c r="N5" i="13"/>
  <c r="AL10" i="11"/>
  <c r="N10" i="7"/>
  <c r="N10" i="8"/>
  <c r="O14" i="6"/>
  <c r="P19" i="5"/>
  <c r="N8" i="3"/>
  <c r="N11" i="13" l="1"/>
  <c r="M9" i="13"/>
  <c r="AK5" i="11"/>
  <c r="M7" i="8"/>
  <c r="M3" i="8"/>
  <c r="O19" i="5"/>
  <c r="M5" i="13" l="1"/>
  <c r="M8" i="13"/>
  <c r="M11" i="13"/>
  <c r="AK10" i="11"/>
  <c r="M10" i="8"/>
  <c r="N14" i="6"/>
  <c r="M8" i="3"/>
  <c r="M10" i="7"/>
  <c r="M9" i="7"/>
  <c r="L9" i="13" l="1"/>
  <c r="AJ5" i="11" l="1"/>
  <c r="L9" i="7"/>
  <c r="L7" i="8"/>
  <c r="L3" i="8"/>
  <c r="N19" i="5" l="1"/>
  <c r="L5" i="13" l="1"/>
  <c r="L8" i="13"/>
  <c r="AJ10" i="11"/>
  <c r="L10" i="7"/>
  <c r="L10" i="8"/>
  <c r="M14" i="6"/>
  <c r="L8" i="3"/>
  <c r="L11" i="13" l="1"/>
  <c r="K9" i="13"/>
  <c r="K8" i="13"/>
  <c r="K5" i="13"/>
  <c r="AI10" i="11"/>
  <c r="K9" i="7"/>
  <c r="K10" i="7"/>
  <c r="K3" i="8"/>
  <c r="K10" i="8" s="1"/>
  <c r="L14" i="6"/>
  <c r="M19" i="5"/>
  <c r="K8" i="3"/>
  <c r="K11" i="13" l="1"/>
  <c r="J8" i="13"/>
  <c r="J5" i="13"/>
  <c r="J11" i="13" s="1"/>
  <c r="J9" i="13"/>
  <c r="AH5" i="11"/>
  <c r="AH10" i="11"/>
  <c r="J10" i="7"/>
  <c r="J9" i="7"/>
  <c r="J7" i="8"/>
  <c r="J3" i="8"/>
  <c r="K14" i="6"/>
  <c r="L19" i="5"/>
  <c r="J8" i="3"/>
  <c r="J10" i="8" l="1"/>
  <c r="I9" i="13"/>
  <c r="AG5" i="11"/>
  <c r="I9" i="7"/>
  <c r="I8" i="13" l="1"/>
  <c r="I5" i="13"/>
  <c r="I11" i="13" s="1"/>
  <c r="AG10" i="11"/>
  <c r="I10" i="7"/>
  <c r="I10" i="8"/>
  <c r="J14" i="6"/>
  <c r="K19" i="5"/>
  <c r="I8" i="3"/>
  <c r="H9" i="13" l="1"/>
  <c r="AF5" i="11"/>
  <c r="AF10" i="11" s="1"/>
  <c r="H9" i="7"/>
  <c r="H7" i="8"/>
  <c r="H3" i="8"/>
  <c r="J19" i="5"/>
  <c r="H8" i="13" l="1"/>
  <c r="H5" i="13"/>
  <c r="H11" i="13" s="1"/>
  <c r="H10" i="7"/>
  <c r="H10" i="8"/>
  <c r="I14" i="6" l="1"/>
  <c r="H8" i="3"/>
  <c r="G9" i="13" l="1"/>
  <c r="G8" i="13"/>
  <c r="G5" i="13"/>
  <c r="AE10" i="11"/>
  <c r="AE5" i="11"/>
  <c r="G10" i="7"/>
  <c r="G9" i="7"/>
  <c r="G7" i="8"/>
  <c r="G3" i="8"/>
  <c r="H14" i="6"/>
  <c r="G14" i="6"/>
  <c r="I19" i="5"/>
  <c r="G8" i="3"/>
  <c r="G10" i="8" l="1"/>
  <c r="G11" i="13"/>
  <c r="F9" i="13"/>
  <c r="AD5" i="11"/>
  <c r="AD10" i="11" s="1"/>
  <c r="F9" i="7"/>
  <c r="F7" i="8"/>
  <c r="F3" i="8"/>
  <c r="F8" i="13" l="1"/>
  <c r="F5" i="13"/>
  <c r="F11" i="13" s="1"/>
  <c r="F10" i="7"/>
  <c r="F10" i="8"/>
  <c r="H19" i="5"/>
  <c r="F8" i="3"/>
  <c r="E9" i="13" l="1"/>
  <c r="AC5" i="11"/>
  <c r="E7" i="8"/>
  <c r="E3" i="8"/>
  <c r="G19" i="5"/>
  <c r="E8" i="13" l="1"/>
  <c r="E5" i="13"/>
  <c r="E11" i="13" s="1"/>
  <c r="AC10" i="11"/>
  <c r="E10" i="7"/>
  <c r="E9" i="7"/>
  <c r="E10" i="8"/>
  <c r="F14" i="6"/>
  <c r="E8" i="3"/>
  <c r="D9" i="13" l="1"/>
  <c r="D8" i="13"/>
  <c r="D5" i="13"/>
  <c r="D11" i="13" s="1"/>
  <c r="AB5" i="11"/>
  <c r="AB10" i="11" s="1"/>
  <c r="D9" i="7"/>
  <c r="D10" i="7"/>
  <c r="D7" i="8"/>
  <c r="D3" i="8"/>
  <c r="D10" i="8" s="1"/>
  <c r="E14" i="6"/>
  <c r="F19" i="5"/>
  <c r="D8" i="3"/>
  <c r="C8" i="13" l="1"/>
  <c r="C5" i="13"/>
  <c r="C9" i="13"/>
  <c r="AA5" i="11"/>
  <c r="AA10" i="11" s="1"/>
  <c r="C10" i="7"/>
  <c r="C9" i="7"/>
  <c r="C7" i="8"/>
  <c r="C3" i="8"/>
  <c r="C10" i="8" s="1"/>
  <c r="D14" i="6"/>
  <c r="E19" i="5"/>
  <c r="C11" i="13" l="1"/>
  <c r="C8" i="3"/>
  <c r="B9" i="13" l="1"/>
  <c r="Z5" i="11"/>
  <c r="B7" i="8"/>
  <c r="B3" i="8"/>
  <c r="B5" i="13" l="1"/>
  <c r="B8" i="13"/>
  <c r="B11" i="13"/>
  <c r="Z10" i="11"/>
  <c r="B9" i="7"/>
  <c r="B10" i="7"/>
  <c r="B10" i="8"/>
  <c r="C14" i="6"/>
  <c r="D19" i="5"/>
  <c r="B8" i="3"/>
  <c r="Y10" i="11" l="1"/>
  <c r="X5" i="11" l="1"/>
  <c r="X10" i="11" s="1"/>
  <c r="W5" i="11" l="1"/>
  <c r="W10" i="11"/>
  <c r="V5" i="11" l="1"/>
  <c r="V10" i="11" s="1"/>
  <c r="U10" i="11" l="1"/>
  <c r="T5" i="11" l="1"/>
  <c r="T10" i="11" l="1"/>
  <c r="S5" i="11" l="1"/>
  <c r="S10" i="11"/>
  <c r="R5" i="11" l="1"/>
  <c r="R10" i="11" l="1"/>
  <c r="Q10" i="11" l="1"/>
  <c r="P10" i="11" l="1"/>
  <c r="O5" i="11" l="1"/>
  <c r="O10" i="11" s="1"/>
  <c r="N5" i="11" l="1"/>
  <c r="N10" i="11" l="1"/>
  <c r="M10" i="11" l="1"/>
  <c r="L10" i="11" l="1"/>
  <c r="K10" i="11" l="1"/>
  <c r="J10" i="11" l="1"/>
  <c r="I10" i="11" l="1"/>
  <c r="H5" i="11" l="1"/>
  <c r="H10" i="11" l="1"/>
  <c r="G5" i="11"/>
  <c r="G10" i="11" s="1"/>
  <c r="F10" i="11" l="1"/>
  <c r="E10" i="11" l="1"/>
  <c r="D10" i="11" l="1"/>
  <c r="C10" i="11"/>
  <c r="B10" i="11" l="1"/>
</calcChain>
</file>

<file path=xl/sharedStrings.xml><?xml version="1.0" encoding="utf-8"?>
<sst xmlns="http://schemas.openxmlformats.org/spreadsheetml/2006/main" count="551" uniqueCount="124">
  <si>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</si>
  <si>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</si>
  <si>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</si>
  <si>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</si>
  <si>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</si>
  <si>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</si>
  <si>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</si>
  <si>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</si>
  <si>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</si>
  <si>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</si>
  <si>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</si>
  <si>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</si>
  <si>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Σύνολο</t>
  </si>
  <si>
    <t>Άντρες</t>
  </si>
  <si>
    <t>Γυναίκες</t>
  </si>
  <si>
    <t>ΛΕΥΚΩΣΙΑ</t>
  </si>
  <si>
    <t>ΑΜΜΟΧΩΣΤΟΣ</t>
  </si>
  <si>
    <t>ΛΑΡΝΑΚΑ</t>
  </si>
  <si>
    <t>ΛΕΜΕΣΟΣ</t>
  </si>
  <si>
    <t>ΠΑΦΟΣ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</si>
  <si>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</si>
  <si>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</si>
  <si>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</si>
  <si>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</si>
  <si>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</si>
  <si>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</si>
  <si>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</si>
  <si>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</si>
  <si>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</si>
  <si>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</si>
  <si>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</si>
  <si>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</si>
  <si>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</si>
  <si>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</si>
  <si>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</si>
  <si>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ΔΙΕΘΥΝΤΕΣ/ΔΙΟΙΚΗΤΙΚΟΙ</t>
  </si>
  <si>
    <t>ΤΕΧΝΙΚΟΙ ΒΟΗΘΟΙ</t>
  </si>
  <si>
    <t>ΓΕΩΡΓΙΚΟΙ ΕΡΓΑΤΕΣ</t>
  </si>
  <si>
    <t>ΧΕΙΡΙΣΤΕΣ ΜΗΧΑΝΗΜΑΤΩΝ</t>
  </si>
  <si>
    <t>ΕΝΟΠΛΕΣ ΔΥΜΑΜΕΙΣ</t>
  </si>
  <si>
    <t>ΝΕΟΕΙΣΕΡΧΟΜΕΝΟΙ</t>
  </si>
  <si>
    <t>ΜΕΧΡΙ 15 ΜΕΡΕΣ</t>
  </si>
  <si>
    <t>15 ΜΕΡΕΣ-3 ΜΗΝΕΣ</t>
  </si>
  <si>
    <t>3 ΜΗΝΕΣ-6 ΜΗΝΕΣ</t>
  </si>
  <si>
    <t>6 ΜΗΝΕΣ -12 ΜΗΝΕΣ</t>
  </si>
  <si>
    <t>12 ΜΗΝΕΣ ΚΑΙ ΠΑΝΩ</t>
  </si>
  <si>
    <t>25-29</t>
  </si>
  <si>
    <t>30-39</t>
  </si>
  <si>
    <t>40-49</t>
  </si>
  <si>
    <t>60-64</t>
  </si>
  <si>
    <t>ΑΝΩ ΤΩΝ 65</t>
  </si>
  <si>
    <t>15-24</t>
  </si>
  <si>
    <t>50-59</t>
  </si>
  <si>
    <t>ΕΛΛΗΝΟΚΥΠΡΙΟΙ</t>
  </si>
  <si>
    <t>ΑΤΟΜΑ ΑΠΟ ΕΕ</t>
  </si>
  <si>
    <t>ΠΟΝΤΙΟΙ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</si>
  <si>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</si>
  <si>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</si>
  <si>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</si>
  <si>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</si>
  <si>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Χωρίς μόρφωση</t>
  </si>
  <si>
    <t>Δευτεροβ. Γενική</t>
  </si>
  <si>
    <t>Δευτεροβ. Τεχνική</t>
  </si>
  <si>
    <t>Δευτεροβάθμια Εκπαίδευση</t>
  </si>
  <si>
    <t>Πρωτοβάθμια Εκπαίδευση</t>
  </si>
  <si>
    <t>Πρωτοβάθμια Εκπ</t>
  </si>
  <si>
    <t>Τριτοβάθμια Εκπαίδευση</t>
  </si>
  <si>
    <t>ΝΕΟΕΙΣEΡΧΟΜΕΝΟΙ</t>
  </si>
  <si>
    <t>Σεπτέμβρης</t>
  </si>
  <si>
    <t>33R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</si>
  <si>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</si>
  <si>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</si>
  <si>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</si>
  <si>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</si>
  <si>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</si>
  <si>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</si>
  <si>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</si>
  <si>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</si>
  <si>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</si>
  <si>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</si>
  <si>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</si>
  <si>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</si>
  <si>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59R</t>
  </si>
  <si>
    <t>ΤΕΧΝΙΤΕΣ ΠΑΡΑΓΩΓΗΣ</t>
  </si>
  <si>
    <t>ΥΠΑΛΛΗΛΟΙ ΥΠΗΡΕΣΙΩΝ</t>
  </si>
  <si>
    <t>ΠΡΟΣΟΝΤΟΥΧΟΙ/  ΕΙΔΙΚΟΙ</t>
  </si>
  <si>
    <t>ΓΡΑΦΕΙΣ/ΔΑΚΤΥΛΟΓΡΑΦΟΙ</t>
  </si>
  <si>
    <t>ΑΝΕΙΔΙΚΕΥΤΟΙ ΕΡΓΑΤΕΣ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</si>
  <si>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</si>
  <si>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</si>
  <si>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</si>
  <si>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</si>
  <si>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</si>
  <si>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</si>
  <si>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</si>
  <si>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</si>
  <si>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</si>
  <si>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</si>
  <si>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</si>
  <si>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</si>
  <si>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</si>
  <si>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</si>
  <si>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</si>
  <si>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</si>
  <si>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</si>
  <si>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</si>
  <si>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 xml:space="preserve"> 58R (44r)</t>
  </si>
  <si>
    <t>ΣΥΝΟΛΟ</t>
  </si>
  <si>
    <t>year</t>
  </si>
  <si>
    <t>month</t>
  </si>
  <si>
    <t>X</t>
  </si>
  <si>
    <t>ΆΛΛΕΣ ΥΠΗΡΕΣΙΕΣ EN(M,N,P,R,S,T,U)</t>
  </si>
  <si>
    <t>από πίνακες Παναγιώτη</t>
  </si>
  <si>
    <t>6 μήνες και πάνω</t>
  </si>
  <si>
    <t>53R</t>
  </si>
  <si>
    <t xml:space="preserve">     58R</t>
  </si>
  <si>
    <t>πίνακες Παναγιώτη</t>
  </si>
  <si>
    <t>Οκτώβρης</t>
  </si>
  <si>
    <t>year%</t>
  </si>
  <si>
    <t>month %</t>
  </si>
  <si>
    <t>month%</t>
  </si>
  <si>
    <t>κάτω από 3 μήνες</t>
  </si>
  <si>
    <t>12 μήνες και πάνω</t>
  </si>
  <si>
    <t>Ιουνίος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</si>
</sst>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Greek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</font>
    <font>
      <b/>
      <sz val="12"/>
      <name val="Arial Greek"/>
      <family val="2"/>
      <charset val="161"/>
    </font>
    <font>
      <sz val="12"/>
      <color indexed="8"/>
      <name val="Calibri"/>
      <family val="2"/>
    </font>
    <font>
      <b/>
      <sz val="12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0"/>
      <color indexed="10"/>
      <name val="Arial Greek"/>
      <family val="2"/>
      <charset val="161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22" fillId="9" borderId="10" applyNumberFormat="0" applyAlignment="0" applyProtection="0"/>
    <xf numFmtId="0" fontId="23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</cellStyleXfs>
  <cellXfs count="106">
    <xf numFmtId="0" fontId="0" fillId="0" borderId="0" xfId="0"/>
    <xf numFmtId="0" fontId="0" fillId="0" borderId="1" xfId="0" applyBorder="1"/>
    <xf numFmtId="3" fontId="0" fillId="0" borderId="0" xfId="0" applyNumberFormat="1"/>
    <xf numFmtId="0" fontId="5" fillId="0" borderId="1" xfId="0" applyFont="1" applyBorder="1"/>
    <xf numFmtId="0" fontId="0" fillId="3" borderId="0" xfId="0" applyFill="1"/>
    <xf numFmtId="0" fontId="7" fillId="0" borderId="0" xfId="0" applyFont="1"/>
    <xf numFmtId="10" fontId="0" fillId="0" borderId="0" xfId="0" applyNumberFormat="1"/>
    <xf numFmtId="0" fontId="9" fillId="0" borderId="0" xfId="0" applyFont="1"/>
    <xf numFmtId="0" fontId="0" fillId="0" borderId="0" xfId="0" applyBorder="1"/>
    <xf numFmtId="3" fontId="0" fillId="0" borderId="0" xfId="0" applyNumberFormat="1" applyBorder="1"/>
    <xf numFmtId="0" fontId="9" fillId="0" borderId="1" xfId="0" applyFont="1" applyBorder="1"/>
    <xf numFmtId="0" fontId="2" fillId="0" borderId="1" xfId="1" applyFont="1" applyFill="1" applyBorder="1"/>
    <xf numFmtId="0" fontId="1" fillId="0" borderId="1" xfId="1" applyFont="1" applyFill="1" applyBorder="1"/>
    <xf numFmtId="0" fontId="3" fillId="0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7" fillId="0" borderId="0" xfId="0" applyFont="1" applyBorder="1"/>
    <xf numFmtId="0" fontId="0" fillId="0" borderId="0" xfId="0" applyFill="1"/>
    <xf numFmtId="0" fontId="4" fillId="0" borderId="2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/>
    <xf numFmtId="0" fontId="27" fillId="0" borderId="0" xfId="0" applyFont="1"/>
    <xf numFmtId="0" fontId="29" fillId="0" borderId="1" xfId="1" applyFont="1" applyBorder="1"/>
    <xf numFmtId="0" fontId="29" fillId="0" borderId="0" xfId="1" applyFont="1" applyBorder="1"/>
    <xf numFmtId="3" fontId="27" fillId="0" borderId="0" xfId="0" applyNumberFormat="1" applyFont="1"/>
    <xf numFmtId="0" fontId="27" fillId="0" borderId="1" xfId="0" applyFont="1" applyBorder="1"/>
    <xf numFmtId="0" fontId="32" fillId="0" borderId="1" xfId="0" applyFont="1" applyBorder="1"/>
    <xf numFmtId="0" fontId="32" fillId="0" borderId="0" xfId="0" applyFont="1"/>
    <xf numFmtId="0" fontId="28" fillId="0" borderId="1" xfId="0" applyFont="1" applyBorder="1"/>
    <xf numFmtId="0" fontId="29" fillId="0" borderId="1" xfId="1" applyFont="1" applyFill="1" applyBorder="1"/>
    <xf numFmtId="0" fontId="33" fillId="0" borderId="1" xfId="0" applyFont="1" applyFill="1" applyBorder="1" applyAlignment="1">
      <alignment horizontal="left" wrapText="1"/>
    </xf>
    <xf numFmtId="1" fontId="27" fillId="0" borderId="1" xfId="0" applyNumberFormat="1" applyFont="1" applyBorder="1"/>
    <xf numFmtId="0" fontId="33" fillId="0" borderId="1" xfId="0" applyFont="1" applyFill="1" applyBorder="1" applyAlignment="1">
      <alignment wrapText="1"/>
    </xf>
    <xf numFmtId="0" fontId="34" fillId="0" borderId="1" xfId="0" applyFont="1" applyBorder="1"/>
    <xf numFmtId="0" fontId="27" fillId="0" borderId="0" xfId="0" applyFont="1" applyBorder="1"/>
    <xf numFmtId="0" fontId="32" fillId="0" borderId="0" xfId="0" applyFont="1" applyBorder="1"/>
    <xf numFmtId="1" fontId="27" fillId="0" borderId="0" xfId="0" applyNumberFormat="1" applyFont="1" applyBorder="1"/>
    <xf numFmtId="9" fontId="27" fillId="0" borderId="0" xfId="0" applyNumberFormat="1" applyFont="1" applyBorder="1"/>
    <xf numFmtId="0" fontId="31" fillId="0" borderId="1" xfId="0" applyFont="1" applyBorder="1" applyAlignment="1">
      <alignment horizontal="left"/>
    </xf>
    <xf numFmtId="0" fontId="31" fillId="0" borderId="1" xfId="0" applyFont="1" applyBorder="1"/>
    <xf numFmtId="0" fontId="28" fillId="0" borderId="3" xfId="0" applyFont="1" applyBorder="1"/>
    <xf numFmtId="0" fontId="31" fillId="0" borderId="3" xfId="0" applyFont="1" applyBorder="1"/>
    <xf numFmtId="0" fontId="31" fillId="0" borderId="3" xfId="0" quotePrefix="1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29" fillId="0" borderId="1" xfId="0" applyFont="1" applyBorder="1" applyAlignment="1">
      <alignment horizontal="left"/>
    </xf>
    <xf numFmtId="0" fontId="29" fillId="0" borderId="1" xfId="0" applyFont="1" applyBorder="1"/>
    <xf numFmtId="3" fontId="29" fillId="0" borderId="0" xfId="0" applyNumberFormat="1" applyFont="1" applyBorder="1"/>
    <xf numFmtId="0" fontId="31" fillId="0" borderId="0" xfId="0" quotePrefix="1" applyFont="1" applyBorder="1" applyAlignment="1">
      <alignment horizontal="left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1" fillId="0" borderId="1" xfId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38" fillId="0" borderId="0" xfId="0" applyFont="1" applyFill="1" applyBorder="1"/>
    <xf numFmtId="0" fontId="37" fillId="0" borderId="0" xfId="0" applyFont="1" applyBorder="1"/>
    <xf numFmtId="0" fontId="39" fillId="0" borderId="0" xfId="0" applyFont="1" applyAlignment="1">
      <alignment horizontal="left"/>
    </xf>
    <xf numFmtId="0" fontId="40" fillId="0" borderId="0" xfId="0" applyFont="1"/>
    <xf numFmtId="0" fontId="41" fillId="35" borderId="13" xfId="0" applyFont="1" applyFill="1" applyBorder="1"/>
    <xf numFmtId="0" fontId="40" fillId="0" borderId="0" xfId="0" applyFont="1" applyAlignment="1">
      <alignment horizontal="left"/>
    </xf>
    <xf numFmtId="3" fontId="0" fillId="0" borderId="0" xfId="0" applyNumberFormat="1" applyFill="1" applyBorder="1"/>
    <xf numFmtId="0" fontId="1" fillId="0" borderId="0" xfId="1" applyFont="1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9" fillId="0" borderId="0" xfId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8" fillId="0" borderId="16" xfId="0" applyFont="1" applyBorder="1"/>
    <xf numFmtId="0" fontId="30" fillId="0" borderId="1" xfId="0" applyFont="1" applyFill="1" applyBorder="1"/>
    <xf numFmtId="0" fontId="30" fillId="3" borderId="1" xfId="0" applyFont="1" applyFill="1" applyBorder="1"/>
    <xf numFmtId="0" fontId="42" fillId="0" borderId="15" xfId="0" applyFont="1" applyBorder="1"/>
    <xf numFmtId="0" fontId="27" fillId="0" borderId="14" xfId="0" applyFont="1" applyBorder="1"/>
    <xf numFmtId="0" fontId="28" fillId="0" borderId="15" xfId="0" applyFont="1" applyBorder="1"/>
    <xf numFmtId="0" fontId="29" fillId="0" borderId="15" xfId="1" applyFont="1" applyFill="1" applyBorder="1"/>
    <xf numFmtId="0" fontId="30" fillId="36" borderId="1" xfId="0" applyFont="1" applyFill="1" applyBorder="1"/>
    <xf numFmtId="0" fontId="0" fillId="0" borderId="17" xfId="0" applyFill="1" applyBorder="1"/>
    <xf numFmtId="0" fontId="1" fillId="0" borderId="17" xfId="1" applyFont="1" applyFill="1" applyBorder="1"/>
    <xf numFmtId="3" fontId="0" fillId="3" borderId="0" xfId="0" applyNumberFormat="1" applyFill="1"/>
    <xf numFmtId="0" fontId="0" fillId="0" borderId="0" xfId="0" applyFill="1" applyBorder="1"/>
    <xf numFmtId="0" fontId="2" fillId="0" borderId="17" xfId="1" applyFont="1" applyFill="1" applyBorder="1"/>
    <xf numFmtId="0" fontId="43" fillId="0" borderId="1" xfId="0" applyFont="1" applyBorder="1"/>
    <xf numFmtId="0" fontId="2" fillId="0" borderId="0" xfId="1" applyFont="1" applyFill="1" applyBorder="1"/>
    <xf numFmtId="0" fontId="0" fillId="0" borderId="17" xfId="0" applyNumberFormat="1" applyFill="1" applyBorder="1"/>
    <xf numFmtId="0" fontId="32" fillId="0" borderId="1" xfId="0" applyFont="1" applyFill="1" applyBorder="1"/>
    <xf numFmtId="0" fontId="1" fillId="0" borderId="16" xfId="1" applyFont="1" applyFill="1" applyBorder="1"/>
    <xf numFmtId="0" fontId="3" fillId="0" borderId="16" xfId="1" applyFont="1" applyFill="1" applyBorder="1"/>
    <xf numFmtId="0" fontId="30" fillId="37" borderId="1" xfId="0" applyFont="1" applyFill="1" applyBorder="1"/>
    <xf numFmtId="3" fontId="27" fillId="37" borderId="0" xfId="0" applyNumberFormat="1" applyFont="1" applyFill="1"/>
    <xf numFmtId="0" fontId="0" fillId="37" borderId="0" xfId="0" applyFill="1"/>
    <xf numFmtId="164" fontId="0" fillId="0" borderId="0" xfId="0" applyNumberFormat="1" applyBorder="1"/>
    <xf numFmtId="164" fontId="27" fillId="0" borderId="0" xfId="0" applyNumberFormat="1" applyFont="1"/>
    <xf numFmtId="164" fontId="0" fillId="0" borderId="0" xfId="0" applyNumberFormat="1"/>
    <xf numFmtId="164" fontId="32" fillId="0" borderId="0" xfId="0" applyNumberFormat="1" applyFont="1"/>
    <xf numFmtId="164" fontId="32" fillId="0" borderId="1" xfId="0" applyNumberFormat="1" applyFont="1" applyBorder="1"/>
    <xf numFmtId="0" fontId="0" fillId="0" borderId="0" xfId="0" applyNumberFormat="1" applyFill="1" applyBorder="1"/>
    <xf numFmtId="164" fontId="32" fillId="0" borderId="0" xfId="0" applyNumberFormat="1" applyFont="1" applyBorder="1"/>
    <xf numFmtId="3" fontId="27" fillId="0" borderId="0" xfId="0" applyNumberFormat="1" applyFont="1" applyBorder="1"/>
    <xf numFmtId="0" fontId="31" fillId="36" borderId="1" xfId="0" applyFont="1" applyFill="1" applyBorder="1" applyAlignment="1">
      <alignment horizontal="left"/>
    </xf>
    <xf numFmtId="0" fontId="27" fillId="36" borderId="0" xfId="0" applyFont="1" applyFill="1" applyBorder="1"/>
    <xf numFmtId="3" fontId="0" fillId="36" borderId="0" xfId="0" applyNumberFormat="1" applyFill="1" applyBorder="1"/>
    <xf numFmtId="0" fontId="27" fillId="36" borderId="0" xfId="0" applyFont="1" applyFill="1"/>
    <xf numFmtId="0" fontId="27" fillId="36" borderId="1" xfId="0" applyFont="1" applyFill="1" applyBorder="1"/>
  </cellXfs>
  <cellStyles count="46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/>
    <cellStyle name="Normal 3" xfId="2"/>
    <cellStyle name="Normal 4" xfId="3"/>
    <cellStyle name="Note" xfId="19" builtinId="10" customBuiltin="1"/>
    <cellStyle name="Output" xfId="14" builtinId="21" customBuiltin="1"/>
    <cellStyle name="Percent 2" xfId="4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Διακύμανση του αριθμού των ανέργων </a:t>
            </a:r>
            <a:endParaRPr lang="en-US"/>
          </a:p>
          <a:p>
            <a:pPr>
              <a:defRPr/>
            </a:pPr>
            <a:r>
              <a:rPr lang="el-GR"/>
              <a:t>(σύνολο και κατά φύλο) τους τελευταίους 12 μήνες </a:t>
            </a:r>
            <a:endParaRPr lang="en-US"/>
          </a:p>
        </c:rich>
      </c:tx>
      <c:layout>
        <c:manualLayout>
          <c:xMode val="edge"/>
          <c:yMode val="edge"/>
          <c:x val="0.194772727272727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02857976086322"/>
          <c:y val="0.17228464419475656"/>
          <c:w val="0.66662564401672153"/>
          <c:h val="0.46738476510660987"/>
        </c:manualLayout>
      </c:layout>
      <c:lineChart>
        <c:grouping val="standard"/>
        <c:varyColors val="0"/>
        <c:ser>
          <c:idx val="2"/>
          <c:order val="0"/>
          <c:tx>
            <c:strRef>
              <c:f>'total and gender '!$D$1</c:f>
              <c:strCache>
                <c:ptCount val="1"/>
                <c:pt idx="0">
                  <c:v>Άντρες</c:v>
                </c:pt>
              </c:strCache>
            </c:strRef>
          </c:tx>
          <c:cat>
            <c:multiLvlStrRef>
              <c:f>'total and gender '!$A$32:$B$44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'total and gender '!$D$32:$D$44</c:f>
              <c:numCache>
                <c:formatCode>#,##0</c:formatCode>
                <c:ptCount val="13"/>
                <c:pt idx="0">
                  <c:v>7975</c:v>
                </c:pt>
                <c:pt idx="1">
                  <c:v>7739</c:v>
                </c:pt>
                <c:pt idx="2">
                  <c:v>7518</c:v>
                </c:pt>
                <c:pt idx="3">
                  <c:v>7491</c:v>
                </c:pt>
                <c:pt idx="4">
                  <c:v>10842</c:v>
                </c:pt>
                <c:pt idx="5">
                  <c:v>11144</c:v>
                </c:pt>
                <c:pt idx="6">
                  <c:v>11522</c:v>
                </c:pt>
                <c:pt idx="7">
                  <c:v>11203</c:v>
                </c:pt>
                <c:pt idx="8">
                  <c:v>11658</c:v>
                </c:pt>
                <c:pt idx="9">
                  <c:v>12774</c:v>
                </c:pt>
                <c:pt idx="10">
                  <c:v>13242</c:v>
                </c:pt>
                <c:pt idx="11">
                  <c:v>13223</c:v>
                </c:pt>
                <c:pt idx="12">
                  <c:v>12918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and gender '!$E$1</c:f>
              <c:strCache>
                <c:ptCount val="1"/>
                <c:pt idx="0">
                  <c:v>Γυναίκες</c:v>
                </c:pt>
              </c:strCache>
            </c:strRef>
          </c:tx>
          <c:cat>
            <c:multiLvlStrRef>
              <c:f>'total and gender '!$A$32:$B$44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'total and gender '!$E$32:$E$44</c:f>
              <c:numCache>
                <c:formatCode>#,##0</c:formatCode>
                <c:ptCount val="13"/>
                <c:pt idx="0">
                  <c:v>12607</c:v>
                </c:pt>
                <c:pt idx="1">
                  <c:v>12144</c:v>
                </c:pt>
                <c:pt idx="2">
                  <c:v>9450</c:v>
                </c:pt>
                <c:pt idx="3">
                  <c:v>9053</c:v>
                </c:pt>
                <c:pt idx="4">
                  <c:v>13653</c:v>
                </c:pt>
                <c:pt idx="5">
                  <c:v>14141</c:v>
                </c:pt>
                <c:pt idx="6">
                  <c:v>14692</c:v>
                </c:pt>
                <c:pt idx="7">
                  <c:v>14417</c:v>
                </c:pt>
                <c:pt idx="8">
                  <c:v>14695</c:v>
                </c:pt>
                <c:pt idx="9">
                  <c:v>15817</c:v>
                </c:pt>
                <c:pt idx="10">
                  <c:v>16362</c:v>
                </c:pt>
                <c:pt idx="11">
                  <c:v>17935</c:v>
                </c:pt>
                <c:pt idx="12">
                  <c:v>19395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'total and gender '!$C$1</c:f>
              <c:strCache>
                <c:ptCount val="1"/>
                <c:pt idx="0">
                  <c:v>Σύνολο</c:v>
                </c:pt>
              </c:strCache>
            </c:strRef>
          </c:tx>
          <c:cat>
            <c:multiLvlStrRef>
              <c:f>'total and gender '!$A$32:$B$44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'total and gender '!$C$32:$C$44</c:f>
              <c:numCache>
                <c:formatCode>#,##0</c:formatCode>
                <c:ptCount val="13"/>
                <c:pt idx="0">
                  <c:v>20582</c:v>
                </c:pt>
                <c:pt idx="1">
                  <c:v>19883</c:v>
                </c:pt>
                <c:pt idx="2">
                  <c:v>16968</c:v>
                </c:pt>
                <c:pt idx="3">
                  <c:v>16544</c:v>
                </c:pt>
                <c:pt idx="4">
                  <c:v>24495</c:v>
                </c:pt>
                <c:pt idx="5">
                  <c:v>25285</c:v>
                </c:pt>
                <c:pt idx="6">
                  <c:v>26214</c:v>
                </c:pt>
                <c:pt idx="7">
                  <c:v>25620</c:v>
                </c:pt>
                <c:pt idx="8">
                  <c:v>26353</c:v>
                </c:pt>
                <c:pt idx="9">
                  <c:v>28591</c:v>
                </c:pt>
                <c:pt idx="10">
                  <c:v>29604</c:v>
                </c:pt>
                <c:pt idx="11">
                  <c:v>31158</c:v>
                </c:pt>
                <c:pt idx="12">
                  <c:v>32313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25760"/>
        <c:axId val="157927296"/>
      </c:lineChart>
      <c:catAx>
        <c:axId val="15792576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57927296"/>
        <c:crosses val="autoZero"/>
        <c:auto val="1"/>
        <c:lblAlgn val="ctr"/>
        <c:lblOffset val="100"/>
        <c:noMultiLvlLbl val="0"/>
      </c:catAx>
      <c:valAx>
        <c:axId val="157927296"/>
        <c:scaling>
          <c:orientation val="minMax"/>
          <c:max val="40000"/>
          <c:min val="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7925760"/>
        <c:crosses val="autoZero"/>
        <c:crossBetween val="between"/>
        <c:majorUnit val="5000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 paperSize="9" orientation="landscape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επαρχία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1978021978021994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7322444986022"/>
          <c:y val="0.20538788072088304"/>
          <c:w val="0.59589766663782462"/>
          <c:h val="0.30935426001043398"/>
        </c:manualLayout>
      </c:layout>
      <c:lineChart>
        <c:grouping val="standard"/>
        <c:varyColors val="0"/>
        <c:ser>
          <c:idx val="0"/>
          <c:order val="0"/>
          <c:tx>
            <c:strRef>
              <c:f>'επαρχία '!$A$3</c:f>
              <c:strCache>
                <c:ptCount val="1"/>
                <c:pt idx="0">
                  <c:v>ΛΕΥΚΩΣΙΑ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multiLvlStrRef>
              <c:f>'επαρχία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Ιουνίος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'επαρχία '!$AF$3:$AR$3</c:f>
              <c:numCache>
                <c:formatCode>General</c:formatCode>
                <c:ptCount val="13"/>
                <c:pt idx="0">
                  <c:v>8179</c:v>
                </c:pt>
                <c:pt idx="1">
                  <c:v>7922</c:v>
                </c:pt>
                <c:pt idx="2">
                  <c:v>6840</c:v>
                </c:pt>
                <c:pt idx="3">
                  <c:v>6306</c:v>
                </c:pt>
                <c:pt idx="4">
                  <c:v>6231</c:v>
                </c:pt>
                <c:pt idx="5">
                  <c:v>5893</c:v>
                </c:pt>
                <c:pt idx="6">
                  <c:v>5943</c:v>
                </c:pt>
                <c:pt idx="7">
                  <c:v>5890</c:v>
                </c:pt>
                <c:pt idx="8">
                  <c:v>6416</c:v>
                </c:pt>
                <c:pt idx="9">
                  <c:v>7143</c:v>
                </c:pt>
                <c:pt idx="10">
                  <c:v>7576</c:v>
                </c:pt>
                <c:pt idx="11">
                  <c:v>8407</c:v>
                </c:pt>
                <c:pt idx="12">
                  <c:v>9066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'επαρχία '!$A$4</c:f>
              <c:strCache>
                <c:ptCount val="1"/>
                <c:pt idx="0">
                  <c:v>ΑΜΜΟΧΩΣΤΟΣ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'επαρχία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Ιουνίος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'επαρχία '!$AF$4:$AR$4</c:f>
              <c:numCache>
                <c:formatCode>General</c:formatCode>
                <c:ptCount val="13"/>
                <c:pt idx="0">
                  <c:v>668</c:v>
                </c:pt>
                <c:pt idx="1">
                  <c:v>641</c:v>
                </c:pt>
                <c:pt idx="2">
                  <c:v>529</c:v>
                </c:pt>
                <c:pt idx="3">
                  <c:v>843</c:v>
                </c:pt>
                <c:pt idx="4">
                  <c:v>5679</c:v>
                </c:pt>
                <c:pt idx="5">
                  <c:v>6256</c:v>
                </c:pt>
                <c:pt idx="6">
                  <c:v>6524</c:v>
                </c:pt>
                <c:pt idx="7">
                  <c:v>6335</c:v>
                </c:pt>
                <c:pt idx="8">
                  <c:v>6162</c:v>
                </c:pt>
                <c:pt idx="9">
                  <c:v>6380</c:v>
                </c:pt>
                <c:pt idx="10">
                  <c:v>6346</c:v>
                </c:pt>
                <c:pt idx="11">
                  <c:v>6088</c:v>
                </c:pt>
                <c:pt idx="12">
                  <c:v>5611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'επαρχία '!$A$5</c:f>
              <c:strCache>
                <c:ptCount val="1"/>
                <c:pt idx="0">
                  <c:v>ΛΑΡΝΑΚΑ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'επαρχία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Ιουνίος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'επαρχία '!$AF$5:$AR$5</c:f>
              <c:numCache>
                <c:formatCode>General</c:formatCode>
                <c:ptCount val="13"/>
                <c:pt idx="0">
                  <c:v>3369</c:v>
                </c:pt>
                <c:pt idx="1">
                  <c:v>3223</c:v>
                </c:pt>
                <c:pt idx="2">
                  <c:v>2762</c:v>
                </c:pt>
                <c:pt idx="3">
                  <c:v>2710</c:v>
                </c:pt>
                <c:pt idx="4">
                  <c:v>4139</c:v>
                </c:pt>
                <c:pt idx="5">
                  <c:v>4171</c:v>
                </c:pt>
                <c:pt idx="6">
                  <c:v>4433</c:v>
                </c:pt>
                <c:pt idx="7">
                  <c:v>4394</c:v>
                </c:pt>
                <c:pt idx="8">
                  <c:v>4527</c:v>
                </c:pt>
                <c:pt idx="9">
                  <c:v>4862</c:v>
                </c:pt>
                <c:pt idx="10">
                  <c:v>5099</c:v>
                </c:pt>
                <c:pt idx="11">
                  <c:v>5421</c:v>
                </c:pt>
                <c:pt idx="12">
                  <c:v>5646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'επαρχία '!$A$6</c:f>
              <c:strCache>
                <c:ptCount val="1"/>
                <c:pt idx="0">
                  <c:v>ΛΕΜΕΣΟΣ</c:v>
                </c:pt>
              </c:strCache>
            </c:strRef>
          </c:tx>
          <c:marker>
            <c:symbol val="none"/>
          </c:marker>
          <c:cat>
            <c:multiLvlStrRef>
              <c:f>'επαρχία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Ιουνίος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'επαρχία '!$AF$6:$AR$6</c:f>
              <c:numCache>
                <c:formatCode>General</c:formatCode>
                <c:ptCount val="13"/>
                <c:pt idx="0">
                  <c:v>6382</c:v>
                </c:pt>
                <c:pt idx="1">
                  <c:v>6153</c:v>
                </c:pt>
                <c:pt idx="2">
                  <c:v>5139</c:v>
                </c:pt>
                <c:pt idx="3">
                  <c:v>4922</c:v>
                </c:pt>
                <c:pt idx="4">
                  <c:v>5142</c:v>
                </c:pt>
                <c:pt idx="5">
                  <c:v>5061</c:v>
                </c:pt>
                <c:pt idx="6">
                  <c:v>5185</c:v>
                </c:pt>
                <c:pt idx="7">
                  <c:v>5114</c:v>
                </c:pt>
                <c:pt idx="8">
                  <c:v>5390</c:v>
                </c:pt>
                <c:pt idx="9">
                  <c:v>5992</c:v>
                </c:pt>
                <c:pt idx="10">
                  <c:v>6402</c:v>
                </c:pt>
                <c:pt idx="11">
                  <c:v>7072</c:v>
                </c:pt>
                <c:pt idx="12">
                  <c:v>7825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'επαρχία '!$A$7</c:f>
              <c:strCache>
                <c:ptCount val="1"/>
                <c:pt idx="0">
                  <c:v>ΠΑΦΟΣ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multiLvlStrRef>
              <c:f>'επαρχία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Ιουνίος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'επαρχία '!$AF$7:$AR$7</c:f>
              <c:numCache>
                <c:formatCode>General</c:formatCode>
                <c:ptCount val="13"/>
                <c:pt idx="0">
                  <c:v>1984</c:v>
                </c:pt>
                <c:pt idx="1">
                  <c:v>1944</c:v>
                </c:pt>
                <c:pt idx="2">
                  <c:v>1697</c:v>
                </c:pt>
                <c:pt idx="3">
                  <c:v>1763</c:v>
                </c:pt>
                <c:pt idx="4">
                  <c:v>3304</c:v>
                </c:pt>
                <c:pt idx="5">
                  <c:v>3904</c:v>
                </c:pt>
                <c:pt idx="6">
                  <c:v>4129</c:v>
                </c:pt>
                <c:pt idx="7">
                  <c:v>3887</c:v>
                </c:pt>
                <c:pt idx="8">
                  <c:v>3858</c:v>
                </c:pt>
                <c:pt idx="9">
                  <c:v>4214</c:v>
                </c:pt>
                <c:pt idx="10">
                  <c:v>4181</c:v>
                </c:pt>
                <c:pt idx="11">
                  <c:v>4170</c:v>
                </c:pt>
                <c:pt idx="12">
                  <c:v>4165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50880"/>
        <c:axId val="158252416"/>
      </c:lineChart>
      <c:catAx>
        <c:axId val="15825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52416"/>
        <c:crosses val="autoZero"/>
        <c:auto val="1"/>
        <c:lblAlgn val="ctr"/>
        <c:lblOffset val="100"/>
        <c:noMultiLvlLbl val="0"/>
      </c:catAx>
      <c:valAx>
        <c:axId val="1582524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50880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2087917577105687"/>
          <c:y val="0.23211969516047828"/>
          <c:w val="0.27032967032967919"/>
          <c:h val="0.52525252525251731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 sz="1200"/>
            </a:pPr>
            <a:r>
              <a:rPr lang="el-GR" sz="1200"/>
              <a:t>κατά οικονομική δραστηριότητα τους τελευταίους 12 μήνες </a:t>
            </a:r>
          </a:p>
        </c:rich>
      </c:tx>
      <c:layout>
        <c:manualLayout>
          <c:xMode val="edge"/>
          <c:yMode val="edge"/>
          <c:x val="0.1480770621216404"/>
          <c:y val="3.3232677422638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3937044609072"/>
          <c:y val="0.23867123932748427"/>
          <c:w val="0.59423137492428757"/>
          <c:h val="0.36253808153134937"/>
        </c:manualLayout>
      </c:layout>
      <c:lineChart>
        <c:grouping val="standard"/>
        <c:varyColors val="0"/>
        <c:ser>
          <c:idx val="2"/>
          <c:order val="0"/>
          <c:tx>
            <c:strRef>
              <c:f>'οικονομική '!$C$9</c:f>
              <c:strCache>
                <c:ptCount val="1"/>
                <c:pt idx="0">
                  <c:v>ΕΜΠΟΡΙΟ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'οικονομική '!$AH$1:$AT$2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'οικονομική '!$AH$9:$AT$9</c:f>
              <c:numCache>
                <c:formatCode>General</c:formatCode>
                <c:ptCount val="13"/>
                <c:pt idx="0">
                  <c:v>3623</c:v>
                </c:pt>
                <c:pt idx="1">
                  <c:v>3586</c:v>
                </c:pt>
                <c:pt idx="2">
                  <c:v>3637</c:v>
                </c:pt>
                <c:pt idx="3">
                  <c:v>3610</c:v>
                </c:pt>
                <c:pt idx="4">
                  <c:v>4072</c:v>
                </c:pt>
                <c:pt idx="5">
                  <c:v>3969</c:v>
                </c:pt>
                <c:pt idx="6">
                  <c:v>4202</c:v>
                </c:pt>
                <c:pt idx="7">
                  <c:v>4212</c:v>
                </c:pt>
                <c:pt idx="8">
                  <c:v>4400</c:v>
                </c:pt>
                <c:pt idx="9">
                  <c:v>4898</c:v>
                </c:pt>
                <c:pt idx="10">
                  <c:v>5162</c:v>
                </c:pt>
                <c:pt idx="11">
                  <c:v>5321</c:v>
                </c:pt>
                <c:pt idx="12">
                  <c:v>5347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'οικονομική '!$C$11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ln cap="sq">
              <a:prstDash val="sysDot"/>
            </a:ln>
          </c:spPr>
          <c:marker>
            <c:symbol val="none"/>
          </c:marker>
          <c:cat>
            <c:multiLvlStrRef>
              <c:f>'οικονομική '!$AH$1:$AT$2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'οικονομική '!$AH$11:$AT$11</c:f>
              <c:numCache>
                <c:formatCode>General</c:formatCode>
                <c:ptCount val="13"/>
                <c:pt idx="0">
                  <c:v>1961</c:v>
                </c:pt>
                <c:pt idx="1">
                  <c:v>1872</c:v>
                </c:pt>
                <c:pt idx="2">
                  <c:v>1911</c:v>
                </c:pt>
                <c:pt idx="3">
                  <c:v>2319</c:v>
                </c:pt>
                <c:pt idx="4">
                  <c:v>8292</c:v>
                </c:pt>
                <c:pt idx="5">
                  <c:v>9290</c:v>
                </c:pt>
                <c:pt idx="6">
                  <c:v>9632</c:v>
                </c:pt>
                <c:pt idx="7">
                  <c:v>9214</c:v>
                </c:pt>
                <c:pt idx="8">
                  <c:v>9028</c:v>
                </c:pt>
                <c:pt idx="9">
                  <c:v>9457</c:v>
                </c:pt>
                <c:pt idx="10">
                  <c:v>9293</c:v>
                </c:pt>
                <c:pt idx="11">
                  <c:v>8852</c:v>
                </c:pt>
                <c:pt idx="12">
                  <c:v>8216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'οικονομική '!$C$15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ln cap="sq">
              <a:prstDash val="lgDashDotDot"/>
            </a:ln>
          </c:spPr>
          <c:marker>
            <c:symbol val="none"/>
          </c:marker>
          <c:cat>
            <c:multiLvlStrRef>
              <c:f>'οικονομική '!$AH$1:$AT$2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'οικονομική '!$AH$15:$AT$15</c:f>
              <c:numCache>
                <c:formatCode>General</c:formatCode>
                <c:ptCount val="13"/>
                <c:pt idx="0">
                  <c:v>2202</c:v>
                </c:pt>
                <c:pt idx="1">
                  <c:v>2125</c:v>
                </c:pt>
                <c:pt idx="2">
                  <c:v>1050</c:v>
                </c:pt>
                <c:pt idx="3">
                  <c:v>826</c:v>
                </c:pt>
                <c:pt idx="4">
                  <c:v>922</c:v>
                </c:pt>
                <c:pt idx="5">
                  <c:v>1069</c:v>
                </c:pt>
                <c:pt idx="6">
                  <c:v>1085</c:v>
                </c:pt>
                <c:pt idx="7">
                  <c:v>1003</c:v>
                </c:pt>
                <c:pt idx="8">
                  <c:v>1034</c:v>
                </c:pt>
                <c:pt idx="9">
                  <c:v>1149</c:v>
                </c:pt>
                <c:pt idx="10">
                  <c:v>1202</c:v>
                </c:pt>
                <c:pt idx="11">
                  <c:v>1854</c:v>
                </c:pt>
                <c:pt idx="12">
                  <c:v>2234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03744"/>
        <c:axId val="158305280"/>
      </c:lineChart>
      <c:catAx>
        <c:axId val="15830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58305280"/>
        <c:crosses val="autoZero"/>
        <c:auto val="1"/>
        <c:lblAlgn val="ctr"/>
        <c:lblOffset val="100"/>
        <c:noMultiLvlLbl val="0"/>
      </c:catAx>
      <c:valAx>
        <c:axId val="15830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58303744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251640986054356"/>
          <c:y val="0.25792999326411753"/>
          <c:w val="0.25192331347967767"/>
          <c:h val="0.36253829915605801"/>
        </c:manualLayout>
      </c:layout>
      <c:overlay val="0"/>
      <c:txPr>
        <a:bodyPr/>
        <a:lstStyle/>
        <a:p>
          <a:pPr>
            <a:defRPr lang="el-GR"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000000000000722" r="0.750000000000007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
κατά επαγγελματική κατηγορία τους τελευταίους 12 μήνες </a:t>
            </a:r>
          </a:p>
        </c:rich>
      </c:tx>
      <c:layout>
        <c:manualLayout>
          <c:xMode val="edge"/>
          <c:yMode val="edge"/>
          <c:x val="0.12757973733583489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0415170899162"/>
          <c:y val="0.1801925785669754"/>
          <c:w val="0.60587126136511116"/>
          <c:h val="0.42948852378970986"/>
        </c:manualLayout>
      </c:layout>
      <c:lineChart>
        <c:grouping val="standard"/>
        <c:varyColors val="0"/>
        <c:ser>
          <c:idx val="0"/>
          <c:order val="0"/>
          <c:tx>
            <c:strRef>
              <c:f>επάγγελμα!$B$4</c:f>
              <c:strCache>
                <c:ptCount val="1"/>
                <c:pt idx="0">
                  <c:v>ΠΡΟΣΟΝΤΟΥΧΟΙ/  ΕΙΔΙΚΟΙ</c:v>
                </c:pt>
              </c:strCache>
            </c:strRef>
          </c:tx>
          <c:cat>
            <c:multiLvlStrRef>
              <c:f>επάγγελμα!$AG$1:$AS$2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Σεπτέμβρης</c:v>
                  </c:pt>
                  <c:pt idx="3">
                    <c:v>Οκτώβρης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επάγγελμα!$AG$4:$AS$4</c:f>
              <c:numCache>
                <c:formatCode>General</c:formatCode>
                <c:ptCount val="13"/>
                <c:pt idx="0">
                  <c:v>3596</c:v>
                </c:pt>
                <c:pt idx="1">
                  <c:v>3481</c:v>
                </c:pt>
                <c:pt idx="2">
                  <c:v>2104</c:v>
                </c:pt>
                <c:pt idx="3">
                  <c:v>1735</c:v>
                </c:pt>
                <c:pt idx="4">
                  <c:v>1719</c:v>
                </c:pt>
                <c:pt idx="5">
                  <c:v>1724</c:v>
                </c:pt>
                <c:pt idx="6">
                  <c:v>1702</c:v>
                </c:pt>
                <c:pt idx="7">
                  <c:v>1728</c:v>
                </c:pt>
                <c:pt idx="8">
                  <c:v>1918</c:v>
                </c:pt>
                <c:pt idx="9">
                  <c:v>2246</c:v>
                </c:pt>
                <c:pt idx="10">
                  <c:v>2398</c:v>
                </c:pt>
                <c:pt idx="11">
                  <c:v>3138</c:v>
                </c:pt>
                <c:pt idx="12">
                  <c:v>4130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επάγγελμα!$B$6</c:f>
              <c:strCache>
                <c:ptCount val="1"/>
                <c:pt idx="0">
                  <c:v>ΓΡΑΦΕΙΣ/ΔΑΚΤΥΛΟΓΡΑΦΟΙ</c:v>
                </c:pt>
              </c:strCache>
            </c:strRef>
          </c:tx>
          <c:marker>
            <c:symbol val="none"/>
          </c:marker>
          <c:cat>
            <c:multiLvlStrRef>
              <c:f>επάγγελμα!$AG$1:$AS$2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Σεπτέμβρης</c:v>
                  </c:pt>
                  <c:pt idx="3">
                    <c:v>Οκτώβρης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επάγγελμα!$AG$6:$AS$6</c:f>
              <c:numCache>
                <c:formatCode>General</c:formatCode>
                <c:ptCount val="13"/>
                <c:pt idx="0">
                  <c:v>3417</c:v>
                </c:pt>
                <c:pt idx="1">
                  <c:v>3236</c:v>
                </c:pt>
                <c:pt idx="2">
                  <c:v>2890</c:v>
                </c:pt>
                <c:pt idx="3">
                  <c:v>2865</c:v>
                </c:pt>
                <c:pt idx="4">
                  <c:v>3843</c:v>
                </c:pt>
                <c:pt idx="5">
                  <c:v>3914</c:v>
                </c:pt>
                <c:pt idx="6">
                  <c:v>3980</c:v>
                </c:pt>
                <c:pt idx="7">
                  <c:v>3859</c:v>
                </c:pt>
                <c:pt idx="8">
                  <c:v>4001</c:v>
                </c:pt>
                <c:pt idx="9">
                  <c:v>4325</c:v>
                </c:pt>
                <c:pt idx="10">
                  <c:v>4567</c:v>
                </c:pt>
                <c:pt idx="11">
                  <c:v>4651</c:v>
                </c:pt>
                <c:pt idx="12">
                  <c:v>4971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επάγγελμα!$B$7</c:f>
              <c:strCache>
                <c:ptCount val="1"/>
                <c:pt idx="0">
                  <c:v>ΥΠΑΛΛΗΛΟΙ ΥΠΗΡΕΣΙΩΝ</c:v>
                </c:pt>
              </c:strCache>
            </c:strRef>
          </c:tx>
          <c:marker>
            <c:symbol val="x"/>
            <c:size val="5"/>
          </c:marker>
          <c:cat>
            <c:multiLvlStrRef>
              <c:f>επάγγελμα!$AG$1:$AS$2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Σεπτέμβρης</c:v>
                  </c:pt>
                  <c:pt idx="3">
                    <c:v>Οκτώβρης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επάγγελμα!$AG$7:$AS$7</c:f>
              <c:numCache>
                <c:formatCode>General</c:formatCode>
                <c:ptCount val="13"/>
                <c:pt idx="0">
                  <c:v>4589</c:v>
                </c:pt>
                <c:pt idx="1">
                  <c:v>4551</c:v>
                </c:pt>
                <c:pt idx="2">
                  <c:v>3809</c:v>
                </c:pt>
                <c:pt idx="3">
                  <c:v>3896</c:v>
                </c:pt>
                <c:pt idx="4">
                  <c:v>7692</c:v>
                </c:pt>
                <c:pt idx="5">
                  <c:v>8117</c:v>
                </c:pt>
                <c:pt idx="6">
                  <c:v>8556</c:v>
                </c:pt>
                <c:pt idx="7">
                  <c:v>8305</c:v>
                </c:pt>
                <c:pt idx="8">
                  <c:v>8454</c:v>
                </c:pt>
                <c:pt idx="9">
                  <c:v>9159</c:v>
                </c:pt>
                <c:pt idx="10">
                  <c:v>9381</c:v>
                </c:pt>
                <c:pt idx="11">
                  <c:v>9981</c:v>
                </c:pt>
                <c:pt idx="12">
                  <c:v>9672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επάγγελμα!$B$9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multiLvlStrRef>
              <c:f>επάγγελμα!$AG$1:$AS$2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Σεπτέμβρης</c:v>
                  </c:pt>
                  <c:pt idx="3">
                    <c:v>Οκτώβρης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επάγγελμα!$AG$9:$AS$9</c:f>
              <c:numCache>
                <c:formatCode>General</c:formatCode>
                <c:ptCount val="13"/>
                <c:pt idx="0">
                  <c:v>1173</c:v>
                </c:pt>
                <c:pt idx="1">
                  <c:v>1111</c:v>
                </c:pt>
                <c:pt idx="2">
                  <c:v>1097</c:v>
                </c:pt>
                <c:pt idx="3">
                  <c:v>1068</c:v>
                </c:pt>
                <c:pt idx="4">
                  <c:v>1144</c:v>
                </c:pt>
                <c:pt idx="5">
                  <c:v>1155</c:v>
                </c:pt>
                <c:pt idx="6">
                  <c:v>1179</c:v>
                </c:pt>
                <c:pt idx="7">
                  <c:v>1145</c:v>
                </c:pt>
                <c:pt idx="8">
                  <c:v>1258</c:v>
                </c:pt>
                <c:pt idx="9">
                  <c:v>1405</c:v>
                </c:pt>
                <c:pt idx="10">
                  <c:v>1474</c:v>
                </c:pt>
                <c:pt idx="11">
                  <c:v>1463</c:v>
                </c:pt>
                <c:pt idx="12">
                  <c:v>1404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επάγγελμα!$B$11</c:f>
              <c:strCache>
                <c:ptCount val="1"/>
                <c:pt idx="0">
                  <c:v>ΑΝΕΙΔΙΚΕΥΤΟΙ ΕΡΓΑΤΕΣ</c:v>
                </c:pt>
              </c:strCache>
            </c:strRef>
          </c:tx>
          <c:marker>
            <c:symbol val="square"/>
            <c:size val="5"/>
            <c:spPr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  <a:prstDash val="sysDash"/>
              </a:ln>
            </c:spPr>
          </c:marker>
          <c:cat>
            <c:multiLvlStrRef>
              <c:f>επάγγελμα!$AG$1:$AS$2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Σεπτέμβρης</c:v>
                  </c:pt>
                  <c:pt idx="3">
                    <c:v>Οκτώβρης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επάγγελμα!$AG$11:$AS$11</c:f>
              <c:numCache>
                <c:formatCode>General</c:formatCode>
                <c:ptCount val="13"/>
                <c:pt idx="0">
                  <c:v>3539</c:v>
                </c:pt>
                <c:pt idx="1">
                  <c:v>3312</c:v>
                </c:pt>
                <c:pt idx="2">
                  <c:v>3094</c:v>
                </c:pt>
                <c:pt idx="3">
                  <c:v>3242</c:v>
                </c:pt>
                <c:pt idx="4">
                  <c:v>5690</c:v>
                </c:pt>
                <c:pt idx="5">
                  <c:v>6012</c:v>
                </c:pt>
                <c:pt idx="6">
                  <c:v>6279</c:v>
                </c:pt>
                <c:pt idx="7">
                  <c:v>6104</c:v>
                </c:pt>
                <c:pt idx="8">
                  <c:v>6062</c:v>
                </c:pt>
                <c:pt idx="9">
                  <c:v>6433</c:v>
                </c:pt>
                <c:pt idx="10">
                  <c:v>6537</c:v>
                </c:pt>
                <c:pt idx="11">
                  <c:v>6510</c:v>
                </c:pt>
                <c:pt idx="12">
                  <c:v>6642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87968"/>
        <c:axId val="157989888"/>
      </c:lineChart>
      <c:catAx>
        <c:axId val="157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57989888"/>
        <c:crosses val="autoZero"/>
        <c:auto val="1"/>
        <c:lblAlgn val="ctr"/>
        <c:lblOffset val="100"/>
        <c:noMultiLvlLbl val="0"/>
      </c:catAx>
      <c:valAx>
        <c:axId val="157989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57987968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358358387019817"/>
          <c:y val="0.2303448566255421"/>
          <c:w val="0.25156982956867735"/>
          <c:h val="0.5897522340499225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ηλικία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4324324324324537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1658126933721"/>
          <c:y val="0.20916028113935603"/>
          <c:w val="0.65817621421175565"/>
          <c:h val="0.34908411858353777"/>
        </c:manualLayout>
      </c:layout>
      <c:lineChart>
        <c:grouping val="standard"/>
        <c:varyColors val="0"/>
        <c:ser>
          <c:idx val="1"/>
          <c:order val="0"/>
          <c:tx>
            <c:strRef>
              <c:f>'ηλικία '!$A$3</c:f>
              <c:strCache>
                <c:ptCount val="1"/>
                <c:pt idx="0">
                  <c:v>15-24</c:v>
                </c:pt>
              </c:strCache>
            </c:strRef>
          </c:tx>
          <c:cat>
            <c:multiLvlStrRef>
              <c:f>'ηλικία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'ηλικία '!$AF$3:$AR$3</c:f>
              <c:numCache>
                <c:formatCode>#,##0</c:formatCode>
                <c:ptCount val="13"/>
                <c:pt idx="0">
                  <c:v>937</c:v>
                </c:pt>
                <c:pt idx="1">
                  <c:v>950</c:v>
                </c:pt>
                <c:pt idx="2">
                  <c:v>960</c:v>
                </c:pt>
                <c:pt idx="3">
                  <c:v>919</c:v>
                </c:pt>
                <c:pt idx="4">
                  <c:v>1537</c:v>
                </c:pt>
                <c:pt idx="5">
                  <c:v>1503</c:v>
                </c:pt>
                <c:pt idx="6">
                  <c:v>1553</c:v>
                </c:pt>
                <c:pt idx="7">
                  <c:v>1509</c:v>
                </c:pt>
                <c:pt idx="8">
                  <c:v>1555</c:v>
                </c:pt>
                <c:pt idx="9">
                  <c:v>1729</c:v>
                </c:pt>
                <c:pt idx="10">
                  <c:v>1820</c:v>
                </c:pt>
                <c:pt idx="11">
                  <c:v>1873</c:v>
                </c:pt>
                <c:pt idx="12">
                  <c:v>1925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'ηλικία '!$A$4</c:f>
              <c:strCache>
                <c:ptCount val="1"/>
                <c:pt idx="0">
                  <c:v>25-29</c:v>
                </c:pt>
              </c:strCache>
            </c:strRef>
          </c:tx>
          <c:marker>
            <c:symbol val="none"/>
          </c:marker>
          <c:cat>
            <c:multiLvlStrRef>
              <c:f>'ηλικία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'ηλικία '!$AF$4:$AR$4</c:f>
              <c:numCache>
                <c:formatCode>#,##0</c:formatCode>
                <c:ptCount val="13"/>
                <c:pt idx="0">
                  <c:v>2588</c:v>
                </c:pt>
                <c:pt idx="1">
                  <c:v>2528</c:v>
                </c:pt>
                <c:pt idx="2">
                  <c:v>2109</c:v>
                </c:pt>
                <c:pt idx="3">
                  <c:v>2022</c:v>
                </c:pt>
                <c:pt idx="4">
                  <c:v>2970</c:v>
                </c:pt>
                <c:pt idx="5">
                  <c:v>3082</c:v>
                </c:pt>
                <c:pt idx="6">
                  <c:v>3257</c:v>
                </c:pt>
                <c:pt idx="7">
                  <c:v>3191</c:v>
                </c:pt>
                <c:pt idx="8">
                  <c:v>3375</c:v>
                </c:pt>
                <c:pt idx="9">
                  <c:v>3820</c:v>
                </c:pt>
                <c:pt idx="10">
                  <c:v>4016</c:v>
                </c:pt>
                <c:pt idx="11">
                  <c:v>4195</c:v>
                </c:pt>
                <c:pt idx="12">
                  <c:v>4395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'ηλικία '!$A$5</c:f>
              <c:strCache>
                <c:ptCount val="1"/>
                <c:pt idx="0">
                  <c:v>30-39</c:v>
                </c:pt>
              </c:strCache>
            </c:strRef>
          </c:tx>
          <c:marker>
            <c:symbol val="none"/>
          </c:marker>
          <c:cat>
            <c:multiLvlStrRef>
              <c:f>'ηλικία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'ηλικία '!$AF$5:$AR$5</c:f>
              <c:numCache>
                <c:formatCode>#,##0</c:formatCode>
                <c:ptCount val="13"/>
                <c:pt idx="0">
                  <c:v>6199</c:v>
                </c:pt>
                <c:pt idx="1">
                  <c:v>5962</c:v>
                </c:pt>
                <c:pt idx="2">
                  <c:v>4687</c:v>
                </c:pt>
                <c:pt idx="3">
                  <c:v>4478</c:v>
                </c:pt>
                <c:pt idx="4">
                  <c:v>6427</c:v>
                </c:pt>
                <c:pt idx="5">
                  <c:v>6550</c:v>
                </c:pt>
                <c:pt idx="6">
                  <c:v>6759</c:v>
                </c:pt>
                <c:pt idx="7">
                  <c:v>6656</c:v>
                </c:pt>
                <c:pt idx="8">
                  <c:v>6990</c:v>
                </c:pt>
                <c:pt idx="9">
                  <c:v>7653</c:v>
                </c:pt>
                <c:pt idx="10">
                  <c:v>7970</c:v>
                </c:pt>
                <c:pt idx="11">
                  <c:v>8705</c:v>
                </c:pt>
                <c:pt idx="12">
                  <c:v>9372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'ηλικία '!$A$6</c:f>
              <c:strCache>
                <c:ptCount val="1"/>
                <c:pt idx="0">
                  <c:v>40-49</c:v>
                </c:pt>
              </c:strCache>
            </c:strRef>
          </c:tx>
          <c:cat>
            <c:multiLvlStrRef>
              <c:f>'ηλικία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'ηλικία '!$AF$6:$AR$6</c:f>
              <c:numCache>
                <c:formatCode>#,##0</c:formatCode>
                <c:ptCount val="13"/>
                <c:pt idx="0">
                  <c:v>4067</c:v>
                </c:pt>
                <c:pt idx="1">
                  <c:v>3895</c:v>
                </c:pt>
                <c:pt idx="2">
                  <c:v>3310</c:v>
                </c:pt>
                <c:pt idx="3">
                  <c:v>3293</c:v>
                </c:pt>
                <c:pt idx="4">
                  <c:v>5355</c:v>
                </c:pt>
                <c:pt idx="5">
                  <c:v>5646</c:v>
                </c:pt>
                <c:pt idx="6">
                  <c:v>5874</c:v>
                </c:pt>
                <c:pt idx="7">
                  <c:v>5700</c:v>
                </c:pt>
                <c:pt idx="8">
                  <c:v>5790</c:v>
                </c:pt>
                <c:pt idx="9">
                  <c:v>6252</c:v>
                </c:pt>
                <c:pt idx="10">
                  <c:v>6420</c:v>
                </c:pt>
                <c:pt idx="11">
                  <c:v>6676</c:v>
                </c:pt>
                <c:pt idx="12">
                  <c:v>6856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'ηλικία '!$A$7</c:f>
              <c:strCache>
                <c:ptCount val="1"/>
                <c:pt idx="0">
                  <c:v>50-59</c:v>
                </c:pt>
              </c:strCache>
            </c:strRef>
          </c:tx>
          <c:cat>
            <c:multiLvlStrRef>
              <c:f>'ηλικία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'ηλικία '!$AF$7:$AR$7</c:f>
              <c:numCache>
                <c:formatCode>#,##0</c:formatCode>
                <c:ptCount val="13"/>
                <c:pt idx="0">
                  <c:v>4524</c:v>
                </c:pt>
                <c:pt idx="1">
                  <c:v>4356</c:v>
                </c:pt>
                <c:pt idx="2">
                  <c:v>3846</c:v>
                </c:pt>
                <c:pt idx="3">
                  <c:v>3811</c:v>
                </c:pt>
                <c:pt idx="4">
                  <c:v>5640</c:v>
                </c:pt>
                <c:pt idx="5">
                  <c:v>5873</c:v>
                </c:pt>
                <c:pt idx="6">
                  <c:v>6042</c:v>
                </c:pt>
                <c:pt idx="7">
                  <c:v>5841</c:v>
                </c:pt>
                <c:pt idx="8">
                  <c:v>5839</c:v>
                </c:pt>
                <c:pt idx="9">
                  <c:v>6167</c:v>
                </c:pt>
                <c:pt idx="10">
                  <c:v>6304</c:v>
                </c:pt>
                <c:pt idx="11">
                  <c:v>6525</c:v>
                </c:pt>
                <c:pt idx="12">
                  <c:v>6551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'ηλικία '!$A$8</c:f>
              <c:strCache>
                <c:ptCount val="1"/>
                <c:pt idx="0">
                  <c:v>60-64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'ηλικία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'ηλικία '!$AF$8:$AR$8</c:f>
              <c:numCache>
                <c:formatCode>#,##0</c:formatCode>
                <c:ptCount val="13"/>
                <c:pt idx="0">
                  <c:v>2132</c:v>
                </c:pt>
                <c:pt idx="1">
                  <c:v>2062</c:v>
                </c:pt>
                <c:pt idx="2">
                  <c:v>1924</c:v>
                </c:pt>
                <c:pt idx="3">
                  <c:v>1886</c:v>
                </c:pt>
                <c:pt idx="4">
                  <c:v>2393</c:v>
                </c:pt>
                <c:pt idx="5">
                  <c:v>2456</c:v>
                </c:pt>
                <c:pt idx="6">
                  <c:v>2564</c:v>
                </c:pt>
                <c:pt idx="7">
                  <c:v>2544</c:v>
                </c:pt>
                <c:pt idx="8">
                  <c:v>2611</c:v>
                </c:pt>
                <c:pt idx="9">
                  <c:v>2755</c:v>
                </c:pt>
                <c:pt idx="10">
                  <c:v>2833</c:v>
                </c:pt>
                <c:pt idx="11">
                  <c:v>2919</c:v>
                </c:pt>
                <c:pt idx="12">
                  <c:v>2946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14176"/>
        <c:axId val="158115712"/>
      </c:lineChart>
      <c:catAx>
        <c:axId val="15811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115712"/>
        <c:crosses val="autoZero"/>
        <c:auto val="1"/>
        <c:lblAlgn val="ctr"/>
        <c:lblOffset val="100"/>
        <c:noMultiLvlLbl val="0"/>
      </c:catAx>
      <c:valAx>
        <c:axId val="1581157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114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9506921929305"/>
          <c:y val="0.1883157929056255"/>
          <c:w val="0.14280944795892803"/>
          <c:h val="0.44330966265373084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722" r="0.75000000000000722" t="1" header="0.5" footer="0.5"/>
    <c:pageSetup paperSize="9" orientation="landscape" verticalDpi="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διάρκεια εγγραφής τους τελευταίους 12 μήνες</a:t>
            </a:r>
            <a:r>
              <a:rPr lang="el-GR"/>
              <a:t> </a:t>
            </a:r>
          </a:p>
        </c:rich>
      </c:tx>
      <c:layout>
        <c:manualLayout>
          <c:xMode val="edge"/>
          <c:yMode val="edge"/>
          <c:x val="0.13615023474178403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33734735810271"/>
          <c:y val="0.20660076762351737"/>
          <c:w val="0.65944704164689993"/>
          <c:h val="0.38490536115010437"/>
        </c:manualLayout>
      </c:layout>
      <c:lineChart>
        <c:grouping val="standard"/>
        <c:varyColors val="0"/>
        <c:ser>
          <c:idx val="0"/>
          <c:order val="0"/>
          <c:tx>
            <c:strRef>
              <c:f>'διάρκεια '!$A$9</c:f>
              <c:strCache>
                <c:ptCount val="1"/>
                <c:pt idx="0">
                  <c:v>6 μήνες και πάνω</c:v>
                </c:pt>
              </c:strCache>
            </c:strRef>
          </c:tx>
          <c:marker>
            <c:symbol val="none"/>
          </c:marker>
          <c:cat>
            <c:multiLvlStrRef>
              <c:f>'διάρκεια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'διάρκεια '!$AF$9:$AR$9</c:f>
              <c:numCache>
                <c:formatCode>General</c:formatCode>
                <c:ptCount val="13"/>
                <c:pt idx="0">
                  <c:v>7497</c:v>
                </c:pt>
                <c:pt idx="1">
                  <c:v>7250</c:v>
                </c:pt>
                <c:pt idx="2">
                  <c:v>6882</c:v>
                </c:pt>
                <c:pt idx="3">
                  <c:v>6500</c:v>
                </c:pt>
                <c:pt idx="4">
                  <c:v>6379</c:v>
                </c:pt>
                <c:pt idx="5">
                  <c:v>6275</c:v>
                </c:pt>
                <c:pt idx="6">
                  <c:v>6184</c:v>
                </c:pt>
                <c:pt idx="7">
                  <c:v>6133</c:v>
                </c:pt>
                <c:pt idx="8">
                  <c:v>6894</c:v>
                </c:pt>
                <c:pt idx="9">
                  <c:v>9204</c:v>
                </c:pt>
                <c:pt idx="10">
                  <c:v>16093</c:v>
                </c:pt>
                <c:pt idx="11">
                  <c:v>16710</c:v>
                </c:pt>
                <c:pt idx="12">
                  <c:v>16881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'διάρκεια '!$A$8</c:f>
              <c:strCache>
                <c:ptCount val="1"/>
                <c:pt idx="0">
                  <c:v>12 μήνες και πάνω</c:v>
                </c:pt>
              </c:strCache>
            </c:strRef>
          </c:tx>
          <c:cat>
            <c:multiLvlStrRef>
              <c:f>'διάρκεια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'διάρκεια '!$AF$8:$AR$8</c:f>
              <c:numCache>
                <c:formatCode>#,##0</c:formatCode>
                <c:ptCount val="13"/>
                <c:pt idx="0">
                  <c:v>4136</c:v>
                </c:pt>
                <c:pt idx="1">
                  <c:v>3992</c:v>
                </c:pt>
                <c:pt idx="2">
                  <c:v>3982</c:v>
                </c:pt>
                <c:pt idx="3">
                  <c:v>3821</c:v>
                </c:pt>
                <c:pt idx="4">
                  <c:v>3715</c:v>
                </c:pt>
                <c:pt idx="5">
                  <c:v>3478</c:v>
                </c:pt>
                <c:pt idx="6">
                  <c:v>3454</c:v>
                </c:pt>
                <c:pt idx="7">
                  <c:v>3369</c:v>
                </c:pt>
                <c:pt idx="8">
                  <c:v>3423</c:v>
                </c:pt>
                <c:pt idx="9">
                  <c:v>3615</c:v>
                </c:pt>
                <c:pt idx="10">
                  <c:v>3960</c:v>
                </c:pt>
                <c:pt idx="11">
                  <c:v>4241</c:v>
                </c:pt>
                <c:pt idx="12">
                  <c:v>4440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'διάρκεια '!$A$5</c:f>
              <c:strCache>
                <c:ptCount val="1"/>
                <c:pt idx="0">
                  <c:v>κάτω από 3 μήνες</c:v>
                </c:pt>
              </c:strCache>
            </c:strRef>
          </c:tx>
          <c:marker>
            <c:symbol val="none"/>
          </c:marker>
          <c:cat>
            <c:multiLvlStrRef>
              <c:f>'διάρκεια '!$AF$1:$AR$2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'διάρκεια '!$AF$5:$AR$5</c:f>
              <c:numCache>
                <c:formatCode>#,##0</c:formatCode>
                <c:ptCount val="13"/>
                <c:pt idx="0">
                  <c:v>10405</c:v>
                </c:pt>
                <c:pt idx="1">
                  <c:v>9701</c:v>
                </c:pt>
                <c:pt idx="2">
                  <c:v>6563</c:v>
                </c:pt>
                <c:pt idx="3">
                  <c:v>6686</c:v>
                </c:pt>
                <c:pt idx="4">
                  <c:v>15176</c:v>
                </c:pt>
                <c:pt idx="5">
                  <c:v>15812</c:v>
                </c:pt>
                <c:pt idx="6">
                  <c:v>15175</c:v>
                </c:pt>
                <c:pt idx="7">
                  <c:v>8651</c:v>
                </c:pt>
                <c:pt idx="8">
                  <c:v>7759</c:v>
                </c:pt>
                <c:pt idx="9">
                  <c:v>7657</c:v>
                </c:pt>
                <c:pt idx="10">
                  <c:v>7009</c:v>
                </c:pt>
                <c:pt idx="11">
                  <c:v>8045</c:v>
                </c:pt>
                <c:pt idx="12">
                  <c:v>9774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96096"/>
        <c:axId val="158197632"/>
      </c:lineChart>
      <c:catAx>
        <c:axId val="15819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58197632"/>
        <c:crosses val="autoZero"/>
        <c:auto val="1"/>
        <c:lblAlgn val="ctr"/>
        <c:lblOffset val="100"/>
        <c:noMultiLvlLbl val="0"/>
      </c:catAx>
      <c:valAx>
        <c:axId val="15819763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58196096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7127632709782601"/>
          <c:y val="0.30304790689578365"/>
          <c:w val="0.22872360091346461"/>
          <c:h val="0.20965696679219445"/>
        </c:manualLayout>
      </c:layout>
      <c:overlay val="0"/>
      <c:txPr>
        <a:bodyPr/>
        <a:lstStyle/>
        <a:p>
          <a:pPr>
            <a:defRPr lang="el-GR"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 ανέργων</a:t>
            </a:r>
            <a:r>
              <a:rPr lang="en-US" sz="1200"/>
              <a:t> </a:t>
            </a:r>
            <a:r>
              <a:rPr lang="el-GR" sz="1200"/>
              <a:t> κατά</a:t>
            </a:r>
            <a:r>
              <a:rPr lang="el-GR" sz="1200" baseline="0"/>
              <a:t> εθνότητα</a:t>
            </a:r>
            <a:r>
              <a:rPr lang="en-US" sz="1200"/>
              <a:t> </a:t>
            </a:r>
            <a:r>
              <a:rPr lang="el-GR" sz="1200"/>
              <a:t> </a:t>
            </a:r>
          </a:p>
          <a:p>
            <a:pPr>
              <a:defRPr lang="el-GR" sz="1200"/>
            </a:pPr>
            <a:r>
              <a:rPr lang="el-GR" sz="1200"/>
              <a:t>τους τελευταίους 12 μήνες </a:t>
            </a:r>
          </a:p>
        </c:rich>
      </c:tx>
      <c:layout>
        <c:manualLayout>
          <c:xMode val="edge"/>
          <c:yMode val="edge"/>
          <c:x val="0.25091619969845091"/>
          <c:y val="3.745332050752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50841969498288E-2"/>
          <c:y val="0.24094960040107644"/>
          <c:w val="0.58061855670103057"/>
          <c:h val="0.31710480010223896"/>
        </c:manualLayout>
      </c:layout>
      <c:lineChart>
        <c:grouping val="standard"/>
        <c:varyColors val="0"/>
        <c:ser>
          <c:idx val="0"/>
          <c:order val="0"/>
          <c:tx>
            <c:strRef>
              <c:f>'υπηκοότητα '!$A$4</c:f>
              <c:strCache>
                <c:ptCount val="1"/>
                <c:pt idx="0">
                  <c:v>ΑΤΟΜΑ ΑΠΟ ΕΕ</c:v>
                </c:pt>
              </c:strCache>
            </c:strRef>
          </c:tx>
          <c:marker>
            <c:symbol val="none"/>
          </c:marker>
          <c:cat>
            <c:multiLvlStrRef>
              <c:f>'υπηκοότητα '!$BD$1:$BP$2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'υπηκοότητα '!$BD$4:$BP$4</c:f>
              <c:numCache>
                <c:formatCode>General</c:formatCode>
                <c:ptCount val="13"/>
                <c:pt idx="0">
                  <c:v>2405</c:v>
                </c:pt>
                <c:pt idx="1">
                  <c:v>2278</c:v>
                </c:pt>
                <c:pt idx="2">
                  <c:v>2278</c:v>
                </c:pt>
                <c:pt idx="3">
                  <c:v>2586</c:v>
                </c:pt>
                <c:pt idx="4">
                  <c:v>6266</c:v>
                </c:pt>
                <c:pt idx="5">
                  <c:v>6810</c:v>
                </c:pt>
                <c:pt idx="6">
                  <c:v>7137</c:v>
                </c:pt>
                <c:pt idx="7">
                  <c:v>6870</c:v>
                </c:pt>
                <c:pt idx="8">
                  <c:v>6874</c:v>
                </c:pt>
                <c:pt idx="9">
                  <c:v>7404</c:v>
                </c:pt>
                <c:pt idx="10">
                  <c:v>7574</c:v>
                </c:pt>
                <c:pt idx="11">
                  <c:v>7420</c:v>
                </c:pt>
                <c:pt idx="12">
                  <c:v>7235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'υπηκοότητα '!$A$5</c:f>
              <c:strCache>
                <c:ptCount val="1"/>
                <c:pt idx="0">
                  <c:v>ΠΟΝΤΙΟΙ</c:v>
                </c:pt>
              </c:strCache>
            </c:strRef>
          </c:tx>
          <c:cat>
            <c:multiLvlStrRef>
              <c:f>'υπηκοότητα '!$BD$1:$BP$2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'υπηκοότητα '!$BD$5:$BP$5</c:f>
              <c:numCache>
                <c:formatCode>General</c:formatCode>
                <c:ptCount val="13"/>
                <c:pt idx="0">
                  <c:v>513</c:v>
                </c:pt>
                <c:pt idx="1">
                  <c:v>474</c:v>
                </c:pt>
                <c:pt idx="2">
                  <c:v>504</c:v>
                </c:pt>
                <c:pt idx="3">
                  <c:v>518</c:v>
                </c:pt>
                <c:pt idx="4">
                  <c:v>775</c:v>
                </c:pt>
                <c:pt idx="5">
                  <c:v>834</c:v>
                </c:pt>
                <c:pt idx="6">
                  <c:v>866</c:v>
                </c:pt>
                <c:pt idx="7">
                  <c:v>843</c:v>
                </c:pt>
                <c:pt idx="8">
                  <c:v>847</c:v>
                </c:pt>
                <c:pt idx="9">
                  <c:v>915</c:v>
                </c:pt>
                <c:pt idx="10">
                  <c:v>936</c:v>
                </c:pt>
                <c:pt idx="11">
                  <c:v>925</c:v>
                </c:pt>
                <c:pt idx="12">
                  <c:v>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'υπηκοότητα '!$A$8</c:f>
              <c:strCache>
                <c:ptCount val="1"/>
                <c:pt idx="0">
                  <c:v>ΑΤΟΜΑ ΜΕ ΚΑΘΕΣΤΩΣ ΣΥΜΠΛΗΡ. ΠΡΟΣΤΑΣΙΑΣ</c:v>
                </c:pt>
              </c:strCache>
            </c:strRef>
          </c:tx>
          <c:spPr>
            <a:ln w="31750">
              <a:prstDash val="sysDash"/>
            </a:ln>
          </c:spPr>
          <c:marker>
            <c:symbol val="none"/>
          </c:marker>
          <c:cat>
            <c:multiLvlStrRef>
              <c:f>'υπηκοότητα '!$BD$1:$BP$2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'υπηκοότητα '!$BD$8:$BP$8</c:f>
              <c:numCache>
                <c:formatCode>General</c:formatCode>
                <c:ptCount val="13"/>
                <c:pt idx="0">
                  <c:v>509</c:v>
                </c:pt>
                <c:pt idx="1">
                  <c:v>486</c:v>
                </c:pt>
                <c:pt idx="2">
                  <c:v>497</c:v>
                </c:pt>
                <c:pt idx="3">
                  <c:v>475</c:v>
                </c:pt>
                <c:pt idx="4">
                  <c:v>476</c:v>
                </c:pt>
                <c:pt idx="5">
                  <c:v>465</c:v>
                </c:pt>
                <c:pt idx="6">
                  <c:v>490</c:v>
                </c:pt>
                <c:pt idx="7">
                  <c:v>480</c:v>
                </c:pt>
                <c:pt idx="8">
                  <c:v>504</c:v>
                </c:pt>
                <c:pt idx="9">
                  <c:v>519</c:v>
                </c:pt>
                <c:pt idx="10">
                  <c:v>521</c:v>
                </c:pt>
                <c:pt idx="11">
                  <c:v>510</c:v>
                </c:pt>
                <c:pt idx="12">
                  <c:v>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'υπηκοότητα '!$A$3</c:f>
              <c:strCache>
                <c:ptCount val="1"/>
                <c:pt idx="0">
                  <c:v>ΕΛΛΗΝΟΚΥΠΡΙΟΙ</c:v>
                </c:pt>
              </c:strCache>
            </c:strRef>
          </c:tx>
          <c:cat>
            <c:multiLvlStrRef>
              <c:f>'υπηκοότητα '!$BD$1:$BP$2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'υπηκοότητα '!$BD$3:$BP$3</c:f>
              <c:numCache>
                <c:formatCode>General</c:formatCode>
                <c:ptCount val="13"/>
                <c:pt idx="0">
                  <c:v>16081</c:v>
                </c:pt>
                <c:pt idx="1">
                  <c:v>15644</c:v>
                </c:pt>
                <c:pt idx="2">
                  <c:v>12674</c:v>
                </c:pt>
                <c:pt idx="3">
                  <c:v>11921</c:v>
                </c:pt>
                <c:pt idx="4">
                  <c:v>15352</c:v>
                </c:pt>
                <c:pt idx="5">
                  <c:v>15490</c:v>
                </c:pt>
                <c:pt idx="6">
                  <c:v>15998</c:v>
                </c:pt>
                <c:pt idx="7">
                  <c:v>15686</c:v>
                </c:pt>
                <c:pt idx="8">
                  <c:v>16354</c:v>
                </c:pt>
                <c:pt idx="9">
                  <c:v>17832</c:v>
                </c:pt>
                <c:pt idx="10">
                  <c:v>18581</c:v>
                </c:pt>
                <c:pt idx="11">
                  <c:v>20290</c:v>
                </c:pt>
                <c:pt idx="12">
                  <c:v>21691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57984"/>
        <c:axId val="158059520"/>
      </c:lineChart>
      <c:catAx>
        <c:axId val="15805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58059520"/>
        <c:crosses val="autoZero"/>
        <c:auto val="1"/>
        <c:lblAlgn val="ctr"/>
        <c:lblOffset val="100"/>
        <c:noMultiLvlLbl val="0"/>
      </c:catAx>
      <c:valAx>
        <c:axId val="158059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58057984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67948840455030479"/>
          <c:y val="0.2227025314986093"/>
          <c:w val="0.27419781603474608"/>
          <c:h val="0.55862642169728782"/>
        </c:manualLayout>
      </c:layout>
      <c:overlay val="0"/>
      <c:txPr>
        <a:bodyPr/>
        <a:lstStyle/>
        <a:p>
          <a:pPr>
            <a:defRPr lang="el-GR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μορφωτικό επίπεδο τους τελευταίους 12 μήνες </a:t>
            </a:r>
          </a:p>
        </c:rich>
      </c:tx>
      <c:layout>
        <c:manualLayout>
          <c:xMode val="edge"/>
          <c:yMode val="edge"/>
          <c:x val="0.16719448255125696"/>
          <c:y val="3.2525847924787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9185405878319"/>
          <c:y val="0.21607923110330879"/>
          <c:w val="0.59834598377905457"/>
          <c:h val="0.29523140542683929"/>
        </c:manualLayout>
      </c:layout>
      <c:lineChart>
        <c:grouping val="standard"/>
        <c:varyColors val="0"/>
        <c:ser>
          <c:idx val="1"/>
          <c:order val="0"/>
          <c:tx>
            <c:strRef>
              <c:f>μόρφωση!$A$8</c:f>
              <c:strCache>
                <c:ptCount val="1"/>
                <c:pt idx="0">
                  <c:v>Δευτεροβάθμια Εκπαίδευση</c:v>
                </c:pt>
              </c:strCache>
            </c:strRef>
          </c:tx>
          <c:cat>
            <c:multiLvlStrRef>
              <c:f>μόρφωση!$AF$1:$AR$2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μόρφωση!$AF$8:$AR$8</c:f>
              <c:numCache>
                <c:formatCode>#,##0</c:formatCode>
                <c:ptCount val="13"/>
                <c:pt idx="0">
                  <c:v>9270</c:v>
                </c:pt>
                <c:pt idx="1">
                  <c:v>8918</c:v>
                </c:pt>
                <c:pt idx="2">
                  <c:v>8096</c:v>
                </c:pt>
                <c:pt idx="3">
                  <c:v>7999</c:v>
                </c:pt>
                <c:pt idx="4">
                  <c:v>11945</c:v>
                </c:pt>
                <c:pt idx="5">
                  <c:v>12223</c:v>
                </c:pt>
                <c:pt idx="6">
                  <c:v>12645</c:v>
                </c:pt>
                <c:pt idx="7">
                  <c:v>12391</c:v>
                </c:pt>
                <c:pt idx="8">
                  <c:v>12702</c:v>
                </c:pt>
                <c:pt idx="9">
                  <c:v>13630</c:v>
                </c:pt>
                <c:pt idx="10">
                  <c:v>14114</c:v>
                </c:pt>
                <c:pt idx="11">
                  <c:v>14517</c:v>
                </c:pt>
                <c:pt idx="12">
                  <c:v>14575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μόρφωση!$A$9</c:f>
              <c:strCache>
                <c:ptCount val="1"/>
                <c:pt idx="0">
                  <c:v>Τριτοβάθμια Εκπαίδευση</c:v>
                </c:pt>
              </c:strCache>
            </c:strRef>
          </c:tx>
          <c:cat>
            <c:multiLvlStrRef>
              <c:f>μόρφωση!$AF$1:$AR$2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μόρφωση!$AF$9:$AR$9</c:f>
              <c:numCache>
                <c:formatCode>#,##0</c:formatCode>
                <c:ptCount val="13"/>
                <c:pt idx="0">
                  <c:v>8411</c:v>
                </c:pt>
                <c:pt idx="1">
                  <c:v>8210</c:v>
                </c:pt>
                <c:pt idx="2">
                  <c:v>6115</c:v>
                </c:pt>
                <c:pt idx="3">
                  <c:v>5505</c:v>
                </c:pt>
                <c:pt idx="4">
                  <c:v>6155</c:v>
                </c:pt>
                <c:pt idx="5">
                  <c:v>6111</c:v>
                </c:pt>
                <c:pt idx="6">
                  <c:v>6303</c:v>
                </c:pt>
                <c:pt idx="7">
                  <c:v>6258</c:v>
                </c:pt>
                <c:pt idx="8">
                  <c:v>6691</c:v>
                </c:pt>
                <c:pt idx="9">
                  <c:v>7456</c:v>
                </c:pt>
                <c:pt idx="10">
                  <c:v>7899</c:v>
                </c:pt>
                <c:pt idx="11">
                  <c:v>9211</c:v>
                </c:pt>
                <c:pt idx="12">
                  <c:v>10490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μόρφωση!$A$5</c:f>
              <c:strCache>
                <c:ptCount val="1"/>
                <c:pt idx="0">
                  <c:v>Πρωτοβάθμια Εκπαίδευση</c:v>
                </c:pt>
              </c:strCache>
            </c:strRef>
          </c:tx>
          <c:marker>
            <c:symbol val="none"/>
          </c:marker>
          <c:cat>
            <c:multiLvlStrRef>
              <c:f>μόρφωση!$AF$1:$AR$2</c:f>
              <c:multiLvlStrCache>
                <c:ptCount val="13"/>
                <c:lvl>
                  <c:pt idx="0">
                    <c:v>Ιούλιος</c:v>
                  </c:pt>
                  <c:pt idx="1">
                    <c:v>Αύγουστος</c:v>
                  </c:pt>
                  <c:pt idx="2">
                    <c:v>Σεπτέμβριος</c:v>
                  </c:pt>
                  <c:pt idx="3">
                    <c:v>Οκτώβριος</c:v>
                  </c:pt>
                  <c:pt idx="4">
                    <c:v>Νοέμβριος</c:v>
                  </c:pt>
                  <c:pt idx="5">
                    <c:v>Δεκέμβριος</c:v>
                  </c:pt>
                  <c:pt idx="6">
                    <c:v>Ιανουάριος</c:v>
                  </c:pt>
                  <c:pt idx="7">
                    <c:v>Φεβρουάριος</c:v>
                  </c:pt>
                  <c:pt idx="8">
                    <c:v>Μάρτιος</c:v>
                  </c:pt>
                  <c:pt idx="9">
                    <c:v>Απρίλιος</c:v>
                  </c:pt>
                  <c:pt idx="10">
                    <c:v>Μάιος</c:v>
                  </c:pt>
                  <c:pt idx="11">
                    <c:v>Ιούνιος</c:v>
                  </c:pt>
                  <c:pt idx="12">
                    <c:v>Ιούλιος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μόρφωση!$AF$5:$AR$5</c:f>
              <c:numCache>
                <c:formatCode>#,##0</c:formatCode>
                <c:ptCount val="13"/>
                <c:pt idx="0">
                  <c:v>2901</c:v>
                </c:pt>
                <c:pt idx="1">
                  <c:v>2755</c:v>
                </c:pt>
                <c:pt idx="2">
                  <c:v>2757</c:v>
                </c:pt>
                <c:pt idx="3">
                  <c:v>3040</c:v>
                </c:pt>
                <c:pt idx="4">
                  <c:v>6395</c:v>
                </c:pt>
                <c:pt idx="5">
                  <c:v>6951</c:v>
                </c:pt>
                <c:pt idx="6">
                  <c:v>7266</c:v>
                </c:pt>
                <c:pt idx="7">
                  <c:v>6971</c:v>
                </c:pt>
                <c:pt idx="8">
                  <c:v>6960</c:v>
                </c:pt>
                <c:pt idx="9">
                  <c:v>7505</c:v>
                </c:pt>
                <c:pt idx="10">
                  <c:v>7591</c:v>
                </c:pt>
                <c:pt idx="11">
                  <c:v>7430</c:v>
                </c:pt>
                <c:pt idx="12">
                  <c:v>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05760"/>
        <c:axId val="158407296"/>
      </c:lineChart>
      <c:catAx>
        <c:axId val="15840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58407296"/>
        <c:crosses val="autoZero"/>
        <c:auto val="1"/>
        <c:lblAlgn val="ctr"/>
        <c:lblOffset val="100"/>
        <c:noMultiLvlLbl val="0"/>
      </c:catAx>
      <c:valAx>
        <c:axId val="1584072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58405760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3774062729032686"/>
          <c:y val="0.21780104910888681"/>
          <c:w val="0.24643224113512563"/>
          <c:h val="0.39561740028398462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55143</xdr:colOff>
      <xdr:row>3</xdr:row>
      <xdr:rowOff>26069</xdr:rowOff>
    </xdr:from>
    <xdr:to>
      <xdr:col>15</xdr:col>
      <xdr:colOff>521368</xdr:colOff>
      <xdr:row>23</xdr:row>
      <xdr:rowOff>80211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13</xdr:row>
      <xdr:rowOff>114300</xdr:rowOff>
    </xdr:from>
    <xdr:to>
      <xdr:col>11</xdr:col>
      <xdr:colOff>523875</xdr:colOff>
      <xdr:row>33</xdr:row>
      <xdr:rowOff>47625</xdr:rowOff>
    </xdr:to>
    <xdr:graphicFrame macro="">
      <xdr:nvGraphicFramePr>
        <xdr:cNvPr id="4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111126</xdr:colOff>
      <xdr:row>22</xdr:row>
      <xdr:rowOff>0</xdr:rowOff>
    </xdr:from>
    <xdr:to>
      <xdr:col>13</xdr:col>
      <xdr:colOff>434050</xdr:colOff>
      <xdr:row>42</xdr:row>
      <xdr:rowOff>192911</xdr:rowOff>
    </xdr:to>
    <xdr:graphicFrame macro="">
      <xdr:nvGraphicFramePr>
        <xdr:cNvPr id="6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468311</xdr:colOff>
      <xdr:row>16</xdr:row>
      <xdr:rowOff>188118</xdr:rowOff>
    </xdr:from>
    <xdr:to>
      <xdr:col>13</xdr:col>
      <xdr:colOff>142874</xdr:colOff>
      <xdr:row>36</xdr:row>
      <xdr:rowOff>190500</xdr:rowOff>
    </xdr:to>
    <xdr:graphicFrame macro="">
      <xdr:nvGraphicFramePr>
        <xdr:cNvPr id="8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510568</xdr:colOff>
      <xdr:row>14</xdr:row>
      <xdr:rowOff>11944</xdr:rowOff>
    </xdr:from>
    <xdr:to>
      <xdr:col>10</xdr:col>
      <xdr:colOff>116414</xdr:colOff>
      <xdr:row>29</xdr:row>
      <xdr:rowOff>160262</xdr:rowOff>
    </xdr:to>
    <xdr:graphicFrame macro="">
      <xdr:nvGraphicFramePr>
        <xdr:cNvPr id="12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460374</xdr:colOff>
      <xdr:row>14</xdr:row>
      <xdr:rowOff>154782</xdr:rowOff>
    </xdr:from>
    <xdr:to>
      <xdr:col>12</xdr:col>
      <xdr:colOff>95250</xdr:colOff>
      <xdr:row>34</xdr:row>
      <xdr:rowOff>178593</xdr:rowOff>
    </xdr:to>
    <xdr:graphicFrame macro="">
      <xdr:nvGraphicFramePr>
        <xdr:cNvPr id="10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333087</xdr:colOff>
      <xdr:row>13</xdr:row>
      <xdr:rowOff>96116</xdr:rowOff>
    </xdr:from>
    <xdr:to>
      <xdr:col>18</xdr:col>
      <xdr:colOff>410104</xdr:colOff>
      <xdr:row>32</xdr:row>
      <xdr:rowOff>158750</xdr:rowOff>
    </xdr:to>
    <xdr:graphicFrame macro="">
      <xdr:nvGraphicFramePr>
        <xdr:cNvPr id="14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1714499</xdr:colOff>
      <xdr:row>16</xdr:row>
      <xdr:rowOff>191291</xdr:rowOff>
    </xdr:from>
    <xdr:to>
      <xdr:col>7</xdr:col>
      <xdr:colOff>321468</xdr:colOff>
      <xdr:row>34</xdr:row>
      <xdr:rowOff>23813</xdr:rowOff>
    </xdr:to>
    <xdr:graphicFrame macro="">
      <xdr:nvGraphicFramePr>
        <xdr:cNvPr id="1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4"/>
  <sheetViews>
    <sheetView topLeftCell="A28" zoomScale="95" zoomScaleNormal="95" workbookViewId="0">
      <selection activeCell="O28" sqref="O28"/>
    </sheetView>
  </sheetViews>
  <sheetFormatPr defaultRowHeight="15" x14ac:dyDescent="0.25"/>
  <cols>
    <col min="2" max="2" width="12.5703125" style="8" customWidth="1"/>
    <col min="3" max="4" width="9.140625" style="8"/>
    <col min="5" max="5" width="11.140625" style="8" bestFit="1" customWidth="1"/>
  </cols>
  <sheetData>
    <row r="1" spans="1:14" x14ac:dyDescent="0.25">
      <c r="A1" s="66"/>
      <c r="B1" s="67"/>
      <c r="C1" s="69" t="s">
        <v>12</v>
      </c>
      <c r="D1" s="70" t="s">
        <v>13</v>
      </c>
      <c r="E1" s="70" t="s">
        <v>14</v>
      </c>
    </row>
    <row r="2" spans="1:14" s="65" customFormat="1" x14ac:dyDescent="0.25">
      <c r="A2" s="8">
        <v>2017</v>
      </c>
      <c r="B2" s="11" t="s">
        <v>0</v>
      </c>
      <c r="C2" s="63">
        <v>42839</v>
      </c>
      <c r="D2" s="79">
        <v>21263</v>
      </c>
      <c r="E2" s="79">
        <v>21576</v>
      </c>
      <c r="G2" s="52" t="s">
        <v>69</v>
      </c>
      <c r="L2" s="7"/>
      <c r="M2" s="7"/>
      <c r="N2" s="7"/>
    </row>
    <row r="3" spans="1:14" s="65" customFormat="1" x14ac:dyDescent="0.25">
      <c r="A3" s="8"/>
      <c r="B3" s="11" t="s">
        <v>1</v>
      </c>
      <c r="C3" s="63">
        <v>42326</v>
      </c>
      <c r="D3" s="79">
        <v>20870</v>
      </c>
      <c r="E3" s="79">
        <v>21456</v>
      </c>
      <c r="L3" s="7"/>
      <c r="M3" s="7"/>
      <c r="N3" s="7"/>
    </row>
    <row r="4" spans="1:14" s="65" customFormat="1" x14ac:dyDescent="0.25">
      <c r="B4" s="11" t="s">
        <v>2</v>
      </c>
      <c r="C4" s="63">
        <v>39088</v>
      </c>
      <c r="D4" s="79">
        <v>19250</v>
      </c>
      <c r="E4" s="79">
        <v>19838</v>
      </c>
      <c r="L4" s="7"/>
      <c r="M4" s="7"/>
      <c r="N4" s="7"/>
    </row>
    <row r="5" spans="1:14" s="65" customFormat="1" x14ac:dyDescent="0.25">
      <c r="B5" s="83" t="s">
        <v>3</v>
      </c>
      <c r="C5" s="63">
        <v>32804</v>
      </c>
      <c r="D5" s="79">
        <v>16250</v>
      </c>
      <c r="E5" s="79">
        <v>16554</v>
      </c>
      <c r="L5" s="7"/>
      <c r="M5" s="7"/>
      <c r="N5" s="7"/>
    </row>
    <row r="6" spans="1:14" s="65" customFormat="1" x14ac:dyDescent="0.25">
      <c r="A6" s="8"/>
      <c r="B6" s="11" t="s">
        <v>4</v>
      </c>
      <c r="C6" s="63">
        <v>29922</v>
      </c>
      <c r="D6" s="79">
        <v>14678</v>
      </c>
      <c r="E6" s="79">
        <v>15244</v>
      </c>
      <c r="M6" s="7"/>
      <c r="N6" s="7"/>
    </row>
    <row r="7" spans="1:14" s="65" customFormat="1" x14ac:dyDescent="0.25">
      <c r="A7" s="8"/>
      <c r="B7" s="83" t="s">
        <v>5</v>
      </c>
      <c r="C7" s="63">
        <v>30577</v>
      </c>
      <c r="D7" s="79">
        <v>14172</v>
      </c>
      <c r="E7" s="79">
        <v>16405</v>
      </c>
      <c r="M7" s="7"/>
      <c r="N7" s="7"/>
    </row>
    <row r="8" spans="1:14" s="65" customFormat="1" x14ac:dyDescent="0.25">
      <c r="A8" s="8"/>
      <c r="B8" s="83" t="s">
        <v>6</v>
      </c>
      <c r="C8" s="63">
        <v>31670</v>
      </c>
      <c r="D8" s="79">
        <v>13892</v>
      </c>
      <c r="E8" s="79">
        <v>17778</v>
      </c>
      <c r="L8" s="7"/>
      <c r="M8" s="7"/>
      <c r="N8" s="7"/>
    </row>
    <row r="9" spans="1:14" s="65" customFormat="1" x14ac:dyDescent="0.25">
      <c r="A9" s="8"/>
      <c r="B9" s="11" t="s">
        <v>7</v>
      </c>
      <c r="C9" s="63">
        <v>31003</v>
      </c>
      <c r="D9" s="63">
        <v>13627</v>
      </c>
      <c r="E9" s="63">
        <v>17376</v>
      </c>
      <c r="L9" s="7"/>
      <c r="M9" s="7"/>
      <c r="N9" s="7"/>
    </row>
    <row r="10" spans="1:14" s="65" customFormat="1" x14ac:dyDescent="0.25">
      <c r="A10" s="8"/>
      <c r="B10" s="83" t="s">
        <v>8</v>
      </c>
      <c r="C10" s="63">
        <v>27951</v>
      </c>
      <c r="D10" s="63">
        <v>13225</v>
      </c>
      <c r="E10" s="63">
        <v>14726</v>
      </c>
      <c r="L10" s="7"/>
      <c r="M10" s="7"/>
      <c r="N10" s="7"/>
    </row>
    <row r="11" spans="1:14" s="65" customFormat="1" x14ac:dyDescent="0.25">
      <c r="A11" s="8"/>
      <c r="B11" s="83" t="s">
        <v>9</v>
      </c>
      <c r="C11" s="63">
        <v>26436</v>
      </c>
      <c r="D11" s="63">
        <v>12741</v>
      </c>
      <c r="E11" s="63">
        <v>13695</v>
      </c>
      <c r="L11" s="7"/>
      <c r="M11" s="7"/>
      <c r="N11" s="7"/>
    </row>
    <row r="12" spans="1:14" s="65" customFormat="1" x14ac:dyDescent="0.25">
      <c r="A12" s="8"/>
      <c r="B12" s="83" t="s">
        <v>10</v>
      </c>
      <c r="C12" s="63">
        <v>33780</v>
      </c>
      <c r="D12" s="63">
        <v>15773</v>
      </c>
      <c r="E12" s="63">
        <v>18007</v>
      </c>
      <c r="L12" s="7"/>
      <c r="M12" s="7"/>
      <c r="N12" s="7"/>
    </row>
    <row r="13" spans="1:14" s="65" customFormat="1" x14ac:dyDescent="0.25">
      <c r="A13" s="8"/>
      <c r="B13" s="11" t="s">
        <v>11</v>
      </c>
      <c r="C13" s="63">
        <v>35771</v>
      </c>
      <c r="D13" s="63">
        <v>16973</v>
      </c>
      <c r="E13" s="63">
        <v>18798</v>
      </c>
      <c r="L13" s="7"/>
      <c r="M13" s="7"/>
      <c r="N13" s="7"/>
    </row>
    <row r="14" spans="1:14" s="65" customFormat="1" x14ac:dyDescent="0.25">
      <c r="A14" s="8">
        <v>2018</v>
      </c>
      <c r="B14" s="11" t="s">
        <v>0</v>
      </c>
      <c r="C14" s="63">
        <v>35989</v>
      </c>
      <c r="D14" s="63">
        <v>16718</v>
      </c>
      <c r="E14" s="63">
        <v>19271</v>
      </c>
      <c r="L14" s="7"/>
      <c r="M14" s="7"/>
      <c r="N14" s="7"/>
    </row>
    <row r="15" spans="1:14" s="65" customFormat="1" x14ac:dyDescent="0.25">
      <c r="A15" s="8"/>
      <c r="B15" s="11" t="s">
        <v>1</v>
      </c>
      <c r="C15" s="63">
        <v>34204</v>
      </c>
      <c r="D15" s="63">
        <v>15621</v>
      </c>
      <c r="E15" s="63">
        <v>18583</v>
      </c>
      <c r="L15" s="7"/>
      <c r="M15" s="7"/>
      <c r="N15" s="7"/>
    </row>
    <row r="16" spans="1:14" s="65" customFormat="1" x14ac:dyDescent="0.25">
      <c r="A16" s="8"/>
      <c r="B16" s="11" t="s">
        <v>2</v>
      </c>
      <c r="C16" s="63">
        <v>30616</v>
      </c>
      <c r="D16" s="63">
        <v>14256</v>
      </c>
      <c r="E16" s="63">
        <v>16360</v>
      </c>
      <c r="L16" s="7"/>
      <c r="M16" s="7"/>
      <c r="N16" s="7"/>
    </row>
    <row r="17" spans="1:14" s="65" customFormat="1" x14ac:dyDescent="0.25">
      <c r="A17" s="8"/>
      <c r="B17" s="83" t="s">
        <v>3</v>
      </c>
      <c r="C17" s="63">
        <v>24903</v>
      </c>
      <c r="D17" s="63">
        <v>11705</v>
      </c>
      <c r="E17" s="63">
        <v>13198</v>
      </c>
      <c r="L17" s="7"/>
      <c r="M17" s="7"/>
      <c r="N17" s="7"/>
    </row>
    <row r="18" spans="1:14" s="65" customFormat="1" x14ac:dyDescent="0.25">
      <c r="A18" s="8"/>
      <c r="B18" s="11" t="s">
        <v>4</v>
      </c>
      <c r="C18" s="63">
        <v>22839</v>
      </c>
      <c r="D18" s="63">
        <v>10632</v>
      </c>
      <c r="E18" s="63">
        <v>12207</v>
      </c>
      <c r="L18" s="7"/>
      <c r="M18" s="7"/>
      <c r="N18" s="7"/>
    </row>
    <row r="19" spans="1:14" s="65" customFormat="1" x14ac:dyDescent="0.25">
      <c r="A19" s="8"/>
      <c r="B19" s="83" t="s">
        <v>5</v>
      </c>
      <c r="C19" s="63">
        <v>23808</v>
      </c>
      <c r="D19" s="63">
        <v>10436</v>
      </c>
      <c r="E19" s="63">
        <v>13372</v>
      </c>
      <c r="L19" s="7"/>
      <c r="M19" s="7"/>
      <c r="N19" s="7"/>
    </row>
    <row r="20" spans="1:14" s="65" customFormat="1" x14ac:dyDescent="0.25">
      <c r="A20" s="8"/>
      <c r="B20" s="83" t="s">
        <v>6</v>
      </c>
      <c r="C20" s="63">
        <v>24803</v>
      </c>
      <c r="D20" s="63">
        <v>10189</v>
      </c>
      <c r="E20" s="63">
        <v>14614</v>
      </c>
      <c r="L20" s="7"/>
      <c r="M20" s="7"/>
      <c r="N20" s="7"/>
    </row>
    <row r="21" spans="1:14" s="65" customFormat="1" x14ac:dyDescent="0.25">
      <c r="A21" s="8"/>
      <c r="B21" s="11" t="s">
        <v>7</v>
      </c>
      <c r="C21" s="63">
        <v>23866</v>
      </c>
      <c r="D21" s="63">
        <v>9839</v>
      </c>
      <c r="E21" s="63">
        <v>14027</v>
      </c>
      <c r="L21" s="7"/>
      <c r="M21" s="7"/>
      <c r="N21" s="7"/>
    </row>
    <row r="22" spans="1:14" s="65" customFormat="1" x14ac:dyDescent="0.25">
      <c r="A22" s="8"/>
      <c r="B22" s="83" t="s">
        <v>8</v>
      </c>
      <c r="C22" s="63">
        <v>21399</v>
      </c>
      <c r="D22" s="63">
        <v>9683</v>
      </c>
      <c r="E22" s="63">
        <v>11716</v>
      </c>
      <c r="L22" s="7"/>
      <c r="M22" s="7"/>
      <c r="N22" s="7"/>
    </row>
    <row r="23" spans="1:14" s="65" customFormat="1" x14ac:dyDescent="0.25">
      <c r="A23" s="8"/>
      <c r="B23" s="83" t="s">
        <v>9</v>
      </c>
      <c r="C23" s="63">
        <v>20447</v>
      </c>
      <c r="D23" s="63">
        <v>9541</v>
      </c>
      <c r="E23" s="63">
        <v>10906</v>
      </c>
      <c r="L23" s="7"/>
      <c r="M23" s="7"/>
      <c r="N23" s="7"/>
    </row>
    <row r="24" spans="1:14" s="65" customFormat="1" x14ac:dyDescent="0.25">
      <c r="A24" s="8"/>
      <c r="B24" s="83" t="s">
        <v>10</v>
      </c>
      <c r="C24" s="63">
        <v>28514</v>
      </c>
      <c r="D24" s="63">
        <v>12929</v>
      </c>
      <c r="E24" s="63">
        <v>15585</v>
      </c>
      <c r="L24" s="7"/>
      <c r="M24" s="7"/>
      <c r="N24" s="7"/>
    </row>
    <row r="25" spans="1:14" s="65" customFormat="1" x14ac:dyDescent="0.25">
      <c r="A25" s="8"/>
      <c r="B25" s="11" t="s">
        <v>11</v>
      </c>
      <c r="C25" s="63">
        <v>29800</v>
      </c>
      <c r="D25" s="63">
        <v>13690</v>
      </c>
      <c r="E25" s="63">
        <v>16110</v>
      </c>
      <c r="L25" s="7"/>
      <c r="M25" s="7"/>
      <c r="N25" s="7"/>
    </row>
    <row r="26" spans="1:14" s="65" customFormat="1" x14ac:dyDescent="0.25">
      <c r="A26" s="8">
        <v>2019</v>
      </c>
      <c r="B26" s="11" t="s">
        <v>0</v>
      </c>
      <c r="C26" s="63">
        <v>30951</v>
      </c>
      <c r="D26" s="63">
        <v>14150</v>
      </c>
      <c r="E26" s="63">
        <v>16801</v>
      </c>
      <c r="L26" s="7"/>
      <c r="M26" s="7"/>
      <c r="N26" s="7"/>
    </row>
    <row r="27" spans="1:14" s="65" customFormat="1" x14ac:dyDescent="0.25">
      <c r="A27" s="8"/>
      <c r="B27" s="83" t="s">
        <v>1</v>
      </c>
      <c r="C27" s="63">
        <v>29751</v>
      </c>
      <c r="D27" s="63">
        <v>13355</v>
      </c>
      <c r="E27" s="63">
        <v>16396</v>
      </c>
      <c r="L27" s="7"/>
      <c r="M27" s="7"/>
      <c r="N27" s="7"/>
    </row>
    <row r="28" spans="1:14" s="65" customFormat="1" x14ac:dyDescent="0.25">
      <c r="A28" s="8"/>
      <c r="B28" s="11" t="s">
        <v>2</v>
      </c>
      <c r="C28" s="63">
        <v>26508</v>
      </c>
      <c r="D28" s="63">
        <v>12061</v>
      </c>
      <c r="E28" s="63">
        <v>14447</v>
      </c>
      <c r="N28" s="7"/>
    </row>
    <row r="29" spans="1:14" s="65" customFormat="1" x14ac:dyDescent="0.25">
      <c r="A29" s="8"/>
      <c r="B29" s="83" t="s">
        <v>3</v>
      </c>
      <c r="C29" s="63">
        <v>20315</v>
      </c>
      <c r="D29" s="63">
        <v>9443</v>
      </c>
      <c r="E29" s="63">
        <v>10872</v>
      </c>
      <c r="N29" s="7"/>
    </row>
    <row r="30" spans="1:14" s="65" customFormat="1" x14ac:dyDescent="0.25">
      <c r="A30" s="8"/>
      <c r="B30" s="11" t="s">
        <v>4</v>
      </c>
      <c r="C30" s="63">
        <v>17607</v>
      </c>
      <c r="D30" s="63">
        <v>8053</v>
      </c>
      <c r="E30" s="63">
        <v>9554</v>
      </c>
      <c r="L30" s="7"/>
      <c r="M30" s="7"/>
      <c r="N30" s="7"/>
    </row>
    <row r="31" spans="1:14" s="65" customFormat="1" x14ac:dyDescent="0.25">
      <c r="A31" s="8"/>
      <c r="B31" s="83" t="s">
        <v>5</v>
      </c>
      <c r="C31" s="63">
        <v>18960</v>
      </c>
      <c r="D31" s="63">
        <v>7968</v>
      </c>
      <c r="E31" s="63">
        <v>10992</v>
      </c>
      <c r="L31" s="7"/>
      <c r="M31" s="7"/>
      <c r="N31" s="7"/>
    </row>
    <row r="32" spans="1:14" s="65" customFormat="1" x14ac:dyDescent="0.25">
      <c r="A32" s="8">
        <v>2019</v>
      </c>
      <c r="B32" s="83" t="s">
        <v>6</v>
      </c>
      <c r="C32" s="63">
        <v>20582</v>
      </c>
      <c r="D32" s="63">
        <v>7975</v>
      </c>
      <c r="E32" s="63">
        <v>12607</v>
      </c>
      <c r="L32" s="7"/>
      <c r="M32" s="7"/>
      <c r="N32" s="7"/>
    </row>
    <row r="33" spans="1:14" s="65" customFormat="1" x14ac:dyDescent="0.25">
      <c r="A33" s="8"/>
      <c r="B33" s="11" t="s">
        <v>7</v>
      </c>
      <c r="C33" s="63">
        <v>19883</v>
      </c>
      <c r="D33" s="63">
        <v>7739</v>
      </c>
      <c r="E33" s="63">
        <v>12144</v>
      </c>
      <c r="L33" s="7"/>
      <c r="M33" s="7"/>
      <c r="N33" s="7"/>
    </row>
    <row r="34" spans="1:14" s="65" customFormat="1" x14ac:dyDescent="0.25">
      <c r="A34" s="8"/>
      <c r="B34" s="83" t="s">
        <v>8</v>
      </c>
      <c r="C34" s="63">
        <v>16968</v>
      </c>
      <c r="D34" s="63">
        <v>7518</v>
      </c>
      <c r="E34" s="63">
        <v>9450</v>
      </c>
      <c r="L34" s="7"/>
      <c r="M34" s="7"/>
      <c r="N34" s="7"/>
    </row>
    <row r="35" spans="1:14" s="65" customFormat="1" x14ac:dyDescent="0.25">
      <c r="A35" s="8"/>
      <c r="B35" s="83" t="s">
        <v>9</v>
      </c>
      <c r="C35" s="63">
        <v>16544</v>
      </c>
      <c r="D35" s="63">
        <v>7491</v>
      </c>
      <c r="E35" s="63">
        <v>9053</v>
      </c>
      <c r="L35" s="7"/>
      <c r="M35" s="7"/>
      <c r="N35" s="7"/>
    </row>
    <row r="36" spans="1:14" s="65" customFormat="1" x14ac:dyDescent="0.25">
      <c r="A36" s="8"/>
      <c r="B36" s="83" t="s">
        <v>10</v>
      </c>
      <c r="C36" s="63">
        <v>24495</v>
      </c>
      <c r="D36" s="63">
        <v>10842</v>
      </c>
      <c r="E36" s="63">
        <v>13653</v>
      </c>
      <c r="L36" s="7"/>
      <c r="M36" s="7"/>
      <c r="N36" s="7"/>
    </row>
    <row r="37" spans="1:14" s="65" customFormat="1" x14ac:dyDescent="0.25">
      <c r="A37" s="8"/>
      <c r="B37" s="11" t="s">
        <v>11</v>
      </c>
      <c r="C37" s="63">
        <v>25285</v>
      </c>
      <c r="D37" s="63">
        <v>11144</v>
      </c>
      <c r="E37" s="63">
        <v>14141</v>
      </c>
      <c r="L37" s="7"/>
      <c r="M37" s="7"/>
      <c r="N37" s="7"/>
    </row>
    <row r="38" spans="1:14" s="65" customFormat="1" x14ac:dyDescent="0.25">
      <c r="A38" s="8">
        <v>2020</v>
      </c>
      <c r="B38" s="11" t="s">
        <v>0</v>
      </c>
      <c r="C38" s="63">
        <v>26214</v>
      </c>
      <c r="D38" s="63">
        <v>11522</v>
      </c>
      <c r="E38" s="63">
        <v>14692</v>
      </c>
      <c r="L38" s="7"/>
      <c r="M38" s="7"/>
      <c r="N38" s="7"/>
    </row>
    <row r="39" spans="1:14" s="65" customFormat="1" x14ac:dyDescent="0.25">
      <c r="A39" s="8"/>
      <c r="B39" s="83" t="s">
        <v>1</v>
      </c>
      <c r="C39" s="63">
        <v>25620</v>
      </c>
      <c r="D39" s="63">
        <v>11203</v>
      </c>
      <c r="E39" s="63">
        <v>14417</v>
      </c>
      <c r="L39" s="7"/>
      <c r="M39" s="7"/>
      <c r="N39" s="7"/>
    </row>
    <row r="40" spans="1:14" s="65" customFormat="1" x14ac:dyDescent="0.25">
      <c r="A40" s="8"/>
      <c r="B40" s="11" t="s">
        <v>2</v>
      </c>
      <c r="C40" s="63">
        <v>26353</v>
      </c>
      <c r="D40" s="63">
        <v>11658</v>
      </c>
      <c r="E40" s="63">
        <v>14695</v>
      </c>
      <c r="L40" s="7"/>
      <c r="M40" s="7"/>
      <c r="N40" s="7"/>
    </row>
    <row r="41" spans="1:14" s="65" customFormat="1" x14ac:dyDescent="0.25">
      <c r="A41" s="8"/>
      <c r="B41" s="83" t="s">
        <v>3</v>
      </c>
      <c r="C41" s="63">
        <v>28591</v>
      </c>
      <c r="D41" s="63">
        <v>12774</v>
      </c>
      <c r="E41" s="63">
        <v>15817</v>
      </c>
      <c r="L41" s="7"/>
      <c r="M41" s="7"/>
      <c r="N41" s="7"/>
    </row>
    <row r="42" spans="1:14" s="65" customFormat="1" x14ac:dyDescent="0.25">
      <c r="A42" s="8"/>
      <c r="B42" s="11" t="s">
        <v>4</v>
      </c>
      <c r="C42" s="63">
        <v>29604</v>
      </c>
      <c r="D42" s="63">
        <v>13242</v>
      </c>
      <c r="E42" s="63">
        <v>16362</v>
      </c>
      <c r="L42" s="7"/>
      <c r="M42" s="7"/>
      <c r="N42" s="7"/>
    </row>
    <row r="43" spans="1:14" s="65" customFormat="1" x14ac:dyDescent="0.25">
      <c r="A43" s="8"/>
      <c r="B43" s="83" t="s">
        <v>5</v>
      </c>
      <c r="C43" s="63">
        <v>31158</v>
      </c>
      <c r="D43" s="63">
        <v>13223</v>
      </c>
      <c r="E43" s="63">
        <v>17935</v>
      </c>
      <c r="L43" s="7"/>
      <c r="M43" s="7"/>
      <c r="N43" s="7"/>
    </row>
    <row r="44" spans="1:14" s="65" customFormat="1" x14ac:dyDescent="0.25">
      <c r="A44" s="8"/>
      <c r="B44" s="83" t="s">
        <v>6</v>
      </c>
      <c r="C44" s="63">
        <v>32313</v>
      </c>
      <c r="D44" s="63">
        <v>12918</v>
      </c>
      <c r="E44" s="63">
        <v>19395</v>
      </c>
      <c r="L44" s="7"/>
      <c r="M44" s="7"/>
      <c r="N44" s="7"/>
    </row>
    <row r="45" spans="1:14" s="65" customFormat="1" x14ac:dyDescent="0.25">
      <c r="B45" s="80" t="s">
        <v>109</v>
      </c>
      <c r="C45" s="63">
        <f>C44-C43</f>
        <v>1155</v>
      </c>
      <c r="D45" s="63">
        <f>D44-D43</f>
        <v>-305</v>
      </c>
      <c r="E45" s="63">
        <f>E44-E43</f>
        <v>1460</v>
      </c>
      <c r="L45" s="6"/>
      <c r="M45" s="6"/>
      <c r="N45" s="6"/>
    </row>
    <row r="46" spans="1:14" x14ac:dyDescent="0.25">
      <c r="B46" s="80"/>
      <c r="C46" s="9"/>
      <c r="D46" s="9"/>
      <c r="E46" s="9"/>
    </row>
    <row r="47" spans="1:14" x14ac:dyDescent="0.25">
      <c r="C47" s="9"/>
      <c r="D47" s="9"/>
      <c r="E47" s="9"/>
      <c r="H47" s="8"/>
      <c r="I47" s="63"/>
      <c r="J47" s="8"/>
      <c r="K47" s="8"/>
    </row>
    <row r="48" spans="1:14" x14ac:dyDescent="0.25">
      <c r="C48" s="93"/>
      <c r="D48" s="93"/>
      <c r="E48" s="93"/>
      <c r="H48" s="85"/>
      <c r="I48" s="63"/>
      <c r="J48" s="8"/>
      <c r="K48" s="8"/>
    </row>
    <row r="50" spans="2:4" x14ac:dyDescent="0.25">
      <c r="B50" s="65"/>
      <c r="C50" s="65"/>
      <c r="D50" s="65"/>
    </row>
    <row r="51" spans="2:4" x14ac:dyDescent="0.25">
      <c r="B51" s="65"/>
      <c r="C51" s="65"/>
      <c r="D51" s="65"/>
    </row>
    <row r="52" spans="2:4" x14ac:dyDescent="0.25">
      <c r="B52" s="65"/>
      <c r="C52" s="65"/>
      <c r="D52" s="65"/>
    </row>
    <row r="53" spans="2:4" x14ac:dyDescent="0.25">
      <c r="B53" s="65"/>
      <c r="C53" s="65"/>
      <c r="D53" s="65"/>
    </row>
    <row r="54" spans="2:4" x14ac:dyDescent="0.25">
      <c r="B54" s="65"/>
      <c r="C54" s="65"/>
      <c r="D54" s="65"/>
    </row>
  </sheetData>
  <phoneticPr fontId="0" type="noConversion"/>
  <pageMargins left="0.7" right="0.7" top="0.75" bottom="0.75" header="0.3" footer="0.3"/>
  <pageSetup paperSize="9" scale="66" orientation="portrait" verticalDpi="4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5"/>
  <sheetViews>
    <sheetView topLeftCell="T1" zoomScale="80" zoomScaleNormal="80" workbookViewId="0">
      <selection activeCell="AJ23" sqref="AJ23"/>
    </sheetView>
  </sheetViews>
  <sheetFormatPr defaultColWidth="9.140625" defaultRowHeight="15.75" x14ac:dyDescent="0.25"/>
  <cols>
    <col min="1" max="1" width="16.7109375" style="23" customWidth="1"/>
    <col min="2" max="5" width="9.140625" style="23"/>
    <col min="6" max="6" width="8.28515625" style="23" customWidth="1"/>
    <col min="7" max="7" width="8" style="23" customWidth="1"/>
    <col min="8" max="8" width="7.85546875" style="23" customWidth="1"/>
    <col min="9" max="16384" width="9.140625" style="23"/>
  </cols>
  <sheetData>
    <row r="1" spans="1:49" x14ac:dyDescent="0.25">
      <c r="A1" s="27"/>
      <c r="B1" s="36">
        <v>2017</v>
      </c>
      <c r="C1" s="36"/>
      <c r="D1" s="36"/>
      <c r="E1" s="36"/>
      <c r="F1" s="36"/>
      <c r="G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/>
      <c r="AD1" s="36"/>
      <c r="AE1" s="36"/>
      <c r="AF1" s="36">
        <v>2019</v>
      </c>
      <c r="AG1" s="36"/>
      <c r="AH1" s="36"/>
      <c r="AI1" s="36"/>
      <c r="AJ1" s="36"/>
      <c r="AK1" s="36"/>
      <c r="AL1" s="36">
        <v>2020</v>
      </c>
      <c r="AM1" s="36"/>
      <c r="AN1" s="36"/>
      <c r="AO1" s="36"/>
      <c r="AP1" s="36"/>
      <c r="AQ1" s="36"/>
      <c r="AR1" s="36"/>
      <c r="AS1" s="36"/>
    </row>
    <row r="2" spans="1:49" x14ac:dyDescent="0.25">
      <c r="A2" s="76"/>
      <c r="B2" s="77" t="s">
        <v>0</v>
      </c>
      <c r="C2" s="68" t="s">
        <v>1</v>
      </c>
      <c r="D2" s="77" t="s">
        <v>2</v>
      </c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  <c r="J2" s="68" t="s">
        <v>8</v>
      </c>
      <c r="K2" s="77" t="s">
        <v>9</v>
      </c>
      <c r="L2" s="68" t="s">
        <v>10</v>
      </c>
      <c r="M2" s="77" t="s">
        <v>11</v>
      </c>
      <c r="N2" s="77" t="s">
        <v>0</v>
      </c>
      <c r="O2" s="68" t="s">
        <v>1</v>
      </c>
      <c r="P2" s="77" t="s">
        <v>2</v>
      </c>
      <c r="Q2" s="68" t="s">
        <v>3</v>
      </c>
      <c r="R2" s="68" t="s">
        <v>4</v>
      </c>
      <c r="S2" s="68" t="s">
        <v>5</v>
      </c>
      <c r="T2" s="68" t="s">
        <v>6</v>
      </c>
      <c r="U2" s="68" t="s">
        <v>7</v>
      </c>
      <c r="V2" s="68" t="s">
        <v>8</v>
      </c>
      <c r="W2" s="77" t="s">
        <v>9</v>
      </c>
      <c r="X2" s="68" t="s">
        <v>10</v>
      </c>
      <c r="Y2" s="77" t="s">
        <v>11</v>
      </c>
      <c r="Z2" s="68" t="s">
        <v>0</v>
      </c>
      <c r="AA2" s="68" t="s">
        <v>1</v>
      </c>
      <c r="AB2" s="77" t="s">
        <v>2</v>
      </c>
      <c r="AC2" s="68" t="s">
        <v>3</v>
      </c>
      <c r="AD2" s="68" t="s">
        <v>4</v>
      </c>
      <c r="AE2" s="68" t="s">
        <v>5</v>
      </c>
      <c r="AF2" s="68" t="s">
        <v>6</v>
      </c>
      <c r="AG2" s="68" t="s">
        <v>7</v>
      </c>
      <c r="AH2" s="68" t="s">
        <v>8</v>
      </c>
      <c r="AI2" s="77" t="s">
        <v>9</v>
      </c>
      <c r="AJ2" s="68" t="s">
        <v>10</v>
      </c>
      <c r="AK2" s="77" t="s">
        <v>11</v>
      </c>
      <c r="AL2" s="68" t="s">
        <v>0</v>
      </c>
      <c r="AM2" s="68" t="s">
        <v>1</v>
      </c>
      <c r="AN2" s="77" t="s">
        <v>2</v>
      </c>
      <c r="AO2" s="68" t="s">
        <v>3</v>
      </c>
      <c r="AP2" s="68" t="s">
        <v>4</v>
      </c>
      <c r="AQ2" s="68" t="s">
        <v>123</v>
      </c>
      <c r="AR2" s="68" t="s">
        <v>6</v>
      </c>
      <c r="AS2" s="68" t="s">
        <v>109</v>
      </c>
    </row>
    <row r="3" spans="1:49" x14ac:dyDescent="0.25">
      <c r="A3" s="47" t="s">
        <v>15</v>
      </c>
      <c r="B3" s="27">
        <v>11802</v>
      </c>
      <c r="C3" s="27">
        <v>11679</v>
      </c>
      <c r="D3" s="27">
        <v>11291</v>
      </c>
      <c r="E3" s="27">
        <v>10678</v>
      </c>
      <c r="F3" s="27">
        <v>10523</v>
      </c>
      <c r="G3" s="27">
        <v>10918</v>
      </c>
      <c r="H3" s="27">
        <v>11463</v>
      </c>
      <c r="I3" s="27">
        <v>11421</v>
      </c>
      <c r="J3" s="27">
        <v>10262</v>
      </c>
      <c r="K3" s="27">
        <v>9436</v>
      </c>
      <c r="L3" s="27">
        <v>9337</v>
      </c>
      <c r="M3" s="27">
        <v>9352</v>
      </c>
      <c r="N3" s="27">
        <v>9282</v>
      </c>
      <c r="O3" s="27">
        <v>8887</v>
      </c>
      <c r="P3" s="27">
        <v>8676</v>
      </c>
      <c r="Q3" s="27">
        <v>8458</v>
      </c>
      <c r="R3" s="27">
        <v>8413</v>
      </c>
      <c r="S3" s="27">
        <v>8989</v>
      </c>
      <c r="T3" s="27">
        <v>9565</v>
      </c>
      <c r="U3" s="27">
        <v>9457</v>
      </c>
      <c r="V3" s="23">
        <v>8363</v>
      </c>
      <c r="W3" s="23">
        <v>7696</v>
      </c>
      <c r="X3" s="23">
        <v>7728</v>
      </c>
      <c r="Y3" s="23">
        <v>7662</v>
      </c>
      <c r="Z3" s="23">
        <f>7798+2</f>
        <v>7800</v>
      </c>
      <c r="AA3" s="23">
        <v>7581</v>
      </c>
      <c r="AB3" s="23">
        <v>7405</v>
      </c>
      <c r="AC3" s="23">
        <v>7010</v>
      </c>
      <c r="AD3" s="23">
        <v>6929</v>
      </c>
      <c r="AE3" s="23">
        <v>7540</v>
      </c>
      <c r="AF3" s="23">
        <v>8179</v>
      </c>
      <c r="AG3" s="23">
        <v>7922</v>
      </c>
      <c r="AH3" s="23">
        <v>6840</v>
      </c>
      <c r="AI3" s="23">
        <v>6306</v>
      </c>
      <c r="AJ3" s="23">
        <v>6231</v>
      </c>
      <c r="AK3" s="23">
        <v>5893</v>
      </c>
      <c r="AL3" s="23">
        <v>5943</v>
      </c>
      <c r="AM3" s="23">
        <v>5890</v>
      </c>
      <c r="AN3" s="23">
        <v>6416</v>
      </c>
      <c r="AO3" s="23">
        <v>7143</v>
      </c>
      <c r="AP3" s="23">
        <v>7576</v>
      </c>
      <c r="AQ3" s="23">
        <v>8407</v>
      </c>
      <c r="AR3" s="23">
        <v>9066</v>
      </c>
      <c r="AS3" s="23">
        <f>AR3-AQ3</f>
        <v>659</v>
      </c>
      <c r="AT3" s="47" t="s">
        <v>15</v>
      </c>
      <c r="AW3" s="94"/>
    </row>
    <row r="4" spans="1:49" x14ac:dyDescent="0.25">
      <c r="A4" s="48" t="s">
        <v>16</v>
      </c>
      <c r="B4" s="27">
        <v>5936</v>
      </c>
      <c r="C4" s="27">
        <v>5889</v>
      </c>
      <c r="D4" s="27">
        <v>4819</v>
      </c>
      <c r="E4" s="27">
        <v>2217</v>
      </c>
      <c r="F4" s="27">
        <v>871</v>
      </c>
      <c r="G4" s="27">
        <v>819</v>
      </c>
      <c r="H4" s="27">
        <v>923</v>
      </c>
      <c r="I4" s="27">
        <v>862</v>
      </c>
      <c r="J4" s="27">
        <v>714</v>
      </c>
      <c r="K4" s="27">
        <v>886</v>
      </c>
      <c r="L4" s="27">
        <v>5136</v>
      </c>
      <c r="M4" s="27">
        <v>6027</v>
      </c>
      <c r="N4" s="27">
        <v>6146</v>
      </c>
      <c r="O4" s="27">
        <v>5976</v>
      </c>
      <c r="P4" s="27">
        <v>4535</v>
      </c>
      <c r="Q4" s="27">
        <v>1509</v>
      </c>
      <c r="R4" s="27">
        <v>636</v>
      </c>
      <c r="S4" s="27">
        <v>656</v>
      </c>
      <c r="T4" s="27">
        <v>718</v>
      </c>
      <c r="U4" s="27">
        <v>636</v>
      </c>
      <c r="V4" s="27">
        <v>546</v>
      </c>
      <c r="W4" s="27">
        <v>806</v>
      </c>
      <c r="X4" s="27">
        <v>5669</v>
      </c>
      <c r="Y4" s="27">
        <v>6239</v>
      </c>
      <c r="Z4" s="27">
        <v>6457</v>
      </c>
      <c r="AA4" s="27">
        <v>6349</v>
      </c>
      <c r="AB4" s="27">
        <v>5083</v>
      </c>
      <c r="AC4" s="27">
        <v>2030</v>
      </c>
      <c r="AD4" s="36">
        <v>570</v>
      </c>
      <c r="AE4" s="36">
        <v>567</v>
      </c>
      <c r="AF4" s="36">
        <v>668</v>
      </c>
      <c r="AG4" s="36">
        <v>641</v>
      </c>
      <c r="AH4" s="36">
        <v>529</v>
      </c>
      <c r="AI4" s="36">
        <v>843</v>
      </c>
      <c r="AJ4" s="36">
        <v>5679</v>
      </c>
      <c r="AK4" s="36">
        <v>6256</v>
      </c>
      <c r="AL4" s="36">
        <v>6524</v>
      </c>
      <c r="AM4" s="36">
        <v>6335</v>
      </c>
      <c r="AN4" s="36">
        <v>6162</v>
      </c>
      <c r="AO4" s="36">
        <v>6380</v>
      </c>
      <c r="AP4" s="36">
        <v>6346</v>
      </c>
      <c r="AQ4" s="36">
        <v>6088</v>
      </c>
      <c r="AR4" s="36">
        <v>5611</v>
      </c>
      <c r="AS4" s="23">
        <f t="shared" ref="AS4:AS8" si="0">AR4-AQ4</f>
        <v>-477</v>
      </c>
      <c r="AT4" s="48" t="s">
        <v>16</v>
      </c>
      <c r="AW4" s="94"/>
    </row>
    <row r="5" spans="1:49" x14ac:dyDescent="0.25">
      <c r="A5" s="48" t="s">
        <v>17</v>
      </c>
      <c r="B5" s="27">
        <v>7437</v>
      </c>
      <c r="C5" s="27">
        <v>7321</v>
      </c>
      <c r="D5" s="27">
        <v>6735</v>
      </c>
      <c r="E5" s="27">
        <v>5660</v>
      </c>
      <c r="F5" s="27">
        <v>5042</v>
      </c>
      <c r="G5" s="27">
        <v>5130</v>
      </c>
      <c r="H5" s="27">
        <v>5191</v>
      </c>
      <c r="I5" s="27">
        <v>5017</v>
      </c>
      <c r="J5" s="27">
        <v>4529</v>
      </c>
      <c r="K5" s="27">
        <v>4287</v>
      </c>
      <c r="L5" s="27">
        <v>5572</v>
      </c>
      <c r="M5" s="27">
        <v>5935</v>
      </c>
      <c r="N5" s="27">
        <v>5947</v>
      </c>
      <c r="O5" s="27">
        <v>5693</v>
      </c>
      <c r="P5" s="27">
        <v>5078</v>
      </c>
      <c r="Q5" s="27">
        <v>4051</v>
      </c>
      <c r="R5" s="27">
        <v>3571</v>
      </c>
      <c r="S5" s="27">
        <v>3797</v>
      </c>
      <c r="T5" s="27">
        <v>3945</v>
      </c>
      <c r="U5" s="27">
        <v>3759</v>
      </c>
      <c r="V5" s="27">
        <v>3462</v>
      </c>
      <c r="W5" s="27">
        <v>3266</v>
      </c>
      <c r="X5" s="27">
        <v>4785</v>
      </c>
      <c r="Y5" s="27">
        <v>4937</v>
      </c>
      <c r="Z5" s="27">
        <v>5289</v>
      </c>
      <c r="AA5" s="27">
        <v>5142</v>
      </c>
      <c r="AB5" s="27">
        <v>4589</v>
      </c>
      <c r="AC5" s="27">
        <v>3539</v>
      </c>
      <c r="AD5" s="36">
        <v>2955</v>
      </c>
      <c r="AE5" s="36">
        <v>3149</v>
      </c>
      <c r="AF5" s="36">
        <v>3369</v>
      </c>
      <c r="AG5" s="36">
        <v>3223</v>
      </c>
      <c r="AH5" s="36">
        <v>2762</v>
      </c>
      <c r="AI5" s="36">
        <v>2710</v>
      </c>
      <c r="AJ5" s="36">
        <v>4139</v>
      </c>
      <c r="AK5" s="36">
        <v>4171</v>
      </c>
      <c r="AL5" s="36">
        <v>4433</v>
      </c>
      <c r="AM5" s="36">
        <v>4394</v>
      </c>
      <c r="AN5" s="36">
        <v>4527</v>
      </c>
      <c r="AO5" s="36">
        <v>4862</v>
      </c>
      <c r="AP5" s="36">
        <v>5099</v>
      </c>
      <c r="AQ5" s="36">
        <v>5421</v>
      </c>
      <c r="AR5" s="36">
        <v>5646</v>
      </c>
      <c r="AS5" s="23">
        <f t="shared" si="0"/>
        <v>225</v>
      </c>
      <c r="AT5" s="48" t="s">
        <v>17</v>
      </c>
      <c r="AW5" s="94"/>
    </row>
    <row r="6" spans="1:49" x14ac:dyDescent="0.25">
      <c r="A6" s="47" t="s">
        <v>18</v>
      </c>
      <c r="B6" s="27">
        <v>10808</v>
      </c>
      <c r="C6" s="27">
        <v>10782</v>
      </c>
      <c r="D6" s="27">
        <v>10409</v>
      </c>
      <c r="E6" s="27">
        <v>9742</v>
      </c>
      <c r="F6" s="27">
        <v>9594</v>
      </c>
      <c r="G6" s="27">
        <v>9878</v>
      </c>
      <c r="H6" s="27">
        <v>10274</v>
      </c>
      <c r="I6" s="27">
        <v>9959</v>
      </c>
      <c r="J6" s="27">
        <v>9004</v>
      </c>
      <c r="K6" s="27">
        <v>8426</v>
      </c>
      <c r="L6" s="27">
        <v>8597</v>
      </c>
      <c r="M6" s="27">
        <v>8499</v>
      </c>
      <c r="N6" s="27">
        <v>8576</v>
      </c>
      <c r="O6" s="27">
        <v>8185</v>
      </c>
      <c r="P6" s="27">
        <v>7807</v>
      </c>
      <c r="Q6" s="27">
        <v>7521</v>
      </c>
      <c r="R6" s="27">
        <v>7343</v>
      </c>
      <c r="S6" s="27">
        <v>7622</v>
      </c>
      <c r="T6" s="27">
        <v>7848</v>
      </c>
      <c r="U6" s="27">
        <v>7395</v>
      </c>
      <c r="V6" s="27">
        <v>6638</v>
      </c>
      <c r="W6" s="27">
        <v>6303</v>
      </c>
      <c r="X6" s="27">
        <v>6322</v>
      </c>
      <c r="Y6" s="27">
        <v>6231</v>
      </c>
      <c r="Z6" s="27">
        <v>6421</v>
      </c>
      <c r="AA6" s="27">
        <v>6173</v>
      </c>
      <c r="AB6" s="27">
        <v>5785</v>
      </c>
      <c r="AC6" s="27">
        <v>5250</v>
      </c>
      <c r="AD6" s="36">
        <v>5254</v>
      </c>
      <c r="AE6" s="36">
        <v>5837</v>
      </c>
      <c r="AF6" s="36">
        <v>6382</v>
      </c>
      <c r="AG6" s="36">
        <v>6153</v>
      </c>
      <c r="AH6" s="36">
        <v>5139</v>
      </c>
      <c r="AI6" s="36">
        <v>4922</v>
      </c>
      <c r="AJ6" s="36">
        <v>5142</v>
      </c>
      <c r="AK6" s="36">
        <v>5061</v>
      </c>
      <c r="AL6" s="36">
        <v>5185</v>
      </c>
      <c r="AM6" s="36">
        <v>5114</v>
      </c>
      <c r="AN6" s="36">
        <v>5390</v>
      </c>
      <c r="AO6" s="36">
        <v>5992</v>
      </c>
      <c r="AP6" s="36">
        <v>6402</v>
      </c>
      <c r="AQ6" s="36">
        <v>7072</v>
      </c>
      <c r="AR6" s="36">
        <v>7825</v>
      </c>
      <c r="AS6" s="23">
        <f t="shared" si="0"/>
        <v>753</v>
      </c>
      <c r="AT6" s="47" t="s">
        <v>18</v>
      </c>
      <c r="AW6" s="94"/>
    </row>
    <row r="7" spans="1:49" x14ac:dyDescent="0.25">
      <c r="A7" s="47" t="s">
        <v>19</v>
      </c>
      <c r="B7" s="27">
        <v>6856</v>
      </c>
      <c r="C7" s="27">
        <v>6655</v>
      </c>
      <c r="D7" s="27">
        <v>5834</v>
      </c>
      <c r="E7" s="27">
        <v>4507</v>
      </c>
      <c r="F7" s="27">
        <v>3892</v>
      </c>
      <c r="G7" s="27">
        <v>3832</v>
      </c>
      <c r="H7" s="27">
        <v>3819</v>
      </c>
      <c r="I7" s="27">
        <v>3744</v>
      </c>
      <c r="J7" s="27">
        <v>3442</v>
      </c>
      <c r="K7" s="27">
        <v>3401</v>
      </c>
      <c r="L7" s="27">
        <v>5138</v>
      </c>
      <c r="M7" s="27">
        <v>5959</v>
      </c>
      <c r="N7" s="27">
        <v>6038</v>
      </c>
      <c r="O7" s="27">
        <v>5463</v>
      </c>
      <c r="P7" s="27">
        <v>4520</v>
      </c>
      <c r="Q7" s="27">
        <v>3364</v>
      </c>
      <c r="R7" s="27">
        <v>2876</v>
      </c>
      <c r="S7" s="27">
        <v>2744</v>
      </c>
      <c r="T7" s="27">
        <v>2727</v>
      </c>
      <c r="U7" s="27">
        <v>2619</v>
      </c>
      <c r="V7" s="27">
        <v>2390</v>
      </c>
      <c r="W7" s="27">
        <v>2376</v>
      </c>
      <c r="X7" s="27">
        <v>4010</v>
      </c>
      <c r="Y7" s="27">
        <v>4731</v>
      </c>
      <c r="Z7" s="27">
        <v>4984</v>
      </c>
      <c r="AA7" s="27">
        <v>4506</v>
      </c>
      <c r="AB7" s="27">
        <v>3646</v>
      </c>
      <c r="AC7" s="27">
        <v>2486</v>
      </c>
      <c r="AD7" s="36">
        <v>1899</v>
      </c>
      <c r="AE7" s="36">
        <v>1867</v>
      </c>
      <c r="AF7" s="36">
        <v>1984</v>
      </c>
      <c r="AG7" s="36">
        <v>1944</v>
      </c>
      <c r="AH7" s="36">
        <v>1697</v>
      </c>
      <c r="AI7" s="36">
        <v>1763</v>
      </c>
      <c r="AJ7" s="36">
        <v>3304</v>
      </c>
      <c r="AK7" s="36">
        <v>3904</v>
      </c>
      <c r="AL7" s="36">
        <v>4129</v>
      </c>
      <c r="AM7" s="36">
        <v>3887</v>
      </c>
      <c r="AN7" s="36">
        <v>3858</v>
      </c>
      <c r="AO7" s="36">
        <v>4214</v>
      </c>
      <c r="AP7" s="36">
        <v>4181</v>
      </c>
      <c r="AQ7" s="36">
        <v>4170</v>
      </c>
      <c r="AR7" s="36">
        <v>4165</v>
      </c>
      <c r="AS7" s="23">
        <f t="shared" si="0"/>
        <v>-5</v>
      </c>
      <c r="AT7" s="47" t="s">
        <v>19</v>
      </c>
      <c r="AW7" s="94"/>
    </row>
    <row r="8" spans="1:49" x14ac:dyDescent="0.25">
      <c r="A8" s="27" t="s">
        <v>12</v>
      </c>
      <c r="B8" s="36">
        <f t="shared" ref="B8:U8" si="1">SUM(B3:B7)</f>
        <v>42839</v>
      </c>
      <c r="C8" s="36">
        <f t="shared" si="1"/>
        <v>42326</v>
      </c>
      <c r="D8" s="36">
        <f t="shared" si="1"/>
        <v>39088</v>
      </c>
      <c r="E8" s="36">
        <f t="shared" si="1"/>
        <v>32804</v>
      </c>
      <c r="F8" s="36">
        <f t="shared" si="1"/>
        <v>29922</v>
      </c>
      <c r="G8" s="36">
        <f t="shared" si="1"/>
        <v>30577</v>
      </c>
      <c r="H8" s="36">
        <f t="shared" si="1"/>
        <v>31670</v>
      </c>
      <c r="I8" s="36">
        <f t="shared" si="1"/>
        <v>31003</v>
      </c>
      <c r="J8" s="36">
        <f t="shared" si="1"/>
        <v>27951</v>
      </c>
      <c r="K8" s="36">
        <f t="shared" si="1"/>
        <v>26436</v>
      </c>
      <c r="L8" s="36">
        <f t="shared" si="1"/>
        <v>33780</v>
      </c>
      <c r="M8" s="36">
        <f t="shared" si="1"/>
        <v>35772</v>
      </c>
      <c r="N8" s="36">
        <f t="shared" si="1"/>
        <v>35989</v>
      </c>
      <c r="O8" s="36">
        <f t="shared" si="1"/>
        <v>34204</v>
      </c>
      <c r="P8" s="36">
        <f t="shared" si="1"/>
        <v>30616</v>
      </c>
      <c r="Q8" s="36">
        <f t="shared" si="1"/>
        <v>24903</v>
      </c>
      <c r="R8" s="36">
        <f t="shared" si="1"/>
        <v>22839</v>
      </c>
      <c r="S8" s="36">
        <f t="shared" si="1"/>
        <v>23808</v>
      </c>
      <c r="T8" s="36">
        <f t="shared" si="1"/>
        <v>24803</v>
      </c>
      <c r="U8" s="36">
        <f t="shared" si="1"/>
        <v>23866</v>
      </c>
      <c r="V8" s="36">
        <f t="shared" ref="V8:AR8" si="2">SUM(V3:V7)</f>
        <v>21399</v>
      </c>
      <c r="W8" s="36">
        <f t="shared" si="2"/>
        <v>20447</v>
      </c>
      <c r="X8" s="36">
        <f t="shared" si="2"/>
        <v>28514</v>
      </c>
      <c r="Y8" s="36">
        <f t="shared" si="2"/>
        <v>29800</v>
      </c>
      <c r="Z8" s="36">
        <f t="shared" si="2"/>
        <v>30951</v>
      </c>
      <c r="AA8" s="36">
        <f t="shared" si="2"/>
        <v>29751</v>
      </c>
      <c r="AB8" s="36">
        <f t="shared" si="2"/>
        <v>26508</v>
      </c>
      <c r="AC8" s="36">
        <f t="shared" si="2"/>
        <v>20315</v>
      </c>
      <c r="AD8" s="36">
        <f t="shared" si="2"/>
        <v>17607</v>
      </c>
      <c r="AE8" s="36">
        <f t="shared" si="2"/>
        <v>18960</v>
      </c>
      <c r="AF8" s="36">
        <f t="shared" si="2"/>
        <v>20582</v>
      </c>
      <c r="AG8" s="36">
        <f t="shared" si="2"/>
        <v>19883</v>
      </c>
      <c r="AH8" s="36">
        <f t="shared" si="2"/>
        <v>16967</v>
      </c>
      <c r="AI8" s="36">
        <f t="shared" si="2"/>
        <v>16544</v>
      </c>
      <c r="AJ8" s="36">
        <f t="shared" si="2"/>
        <v>24495</v>
      </c>
      <c r="AK8" s="36">
        <f t="shared" si="2"/>
        <v>25285</v>
      </c>
      <c r="AL8" s="36">
        <f t="shared" si="2"/>
        <v>26214</v>
      </c>
      <c r="AM8" s="36">
        <f t="shared" si="2"/>
        <v>25620</v>
      </c>
      <c r="AN8" s="36">
        <f t="shared" si="2"/>
        <v>26353</v>
      </c>
      <c r="AO8" s="36">
        <f t="shared" si="2"/>
        <v>28591</v>
      </c>
      <c r="AP8" s="36">
        <f t="shared" si="2"/>
        <v>29604</v>
      </c>
      <c r="AQ8" s="36">
        <f t="shared" si="2"/>
        <v>31158</v>
      </c>
      <c r="AR8" s="36">
        <f t="shared" si="2"/>
        <v>32313</v>
      </c>
      <c r="AS8" s="23">
        <f t="shared" si="0"/>
        <v>1155</v>
      </c>
      <c r="AW8" s="94"/>
    </row>
    <row r="10" spans="1:49" x14ac:dyDescent="0.25">
      <c r="AS10" s="94"/>
    </row>
    <row r="11" spans="1:49" x14ac:dyDescent="0.25">
      <c r="A11" s="49"/>
      <c r="C11" s="53" t="s">
        <v>69</v>
      </c>
    </row>
    <row r="12" spans="1:49" x14ac:dyDescent="0.25">
      <c r="A12" s="49"/>
    </row>
    <row r="13" spans="1:49" x14ac:dyDescent="0.25">
      <c r="A13" s="49"/>
    </row>
    <row r="14" spans="1:49" x14ac:dyDescent="0.25">
      <c r="A14" s="49"/>
    </row>
    <row r="15" spans="1:49" x14ac:dyDescent="0.25">
      <c r="A15" s="4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Z78"/>
  <sheetViews>
    <sheetView zoomScale="78" zoomScaleNormal="78" workbookViewId="0">
      <selection activeCell="R34" sqref="R34"/>
    </sheetView>
  </sheetViews>
  <sheetFormatPr defaultColWidth="9.140625" defaultRowHeight="15.75" x14ac:dyDescent="0.25"/>
  <cols>
    <col min="1" max="1" width="5.5703125" style="23" customWidth="1"/>
    <col min="2" max="2" width="5.85546875" style="23" customWidth="1"/>
    <col min="3" max="3" width="31.28515625" style="23" customWidth="1"/>
    <col min="4" max="47" width="10.28515625" style="23" customWidth="1"/>
    <col min="48" max="16384" width="9.140625" style="23"/>
  </cols>
  <sheetData>
    <row r="1" spans="1:52" x14ac:dyDescent="0.25">
      <c r="C1" s="27"/>
      <c r="D1" s="36">
        <v>2017</v>
      </c>
      <c r="E1" s="36"/>
      <c r="F1" s="36"/>
      <c r="H1" s="36"/>
      <c r="I1" s="36"/>
      <c r="J1" s="36"/>
      <c r="K1" s="36"/>
      <c r="L1" s="36"/>
      <c r="M1" s="36"/>
      <c r="N1" s="36"/>
      <c r="O1" s="36"/>
      <c r="P1" s="36">
        <v>2018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>
        <v>2019</v>
      </c>
      <c r="AC1" s="36"/>
      <c r="AD1" s="36"/>
      <c r="AE1" s="36"/>
      <c r="AF1" s="36"/>
      <c r="AG1" s="36"/>
      <c r="AH1" s="36">
        <v>2019</v>
      </c>
      <c r="AI1" s="36"/>
      <c r="AJ1" s="36"/>
      <c r="AK1" s="36"/>
      <c r="AL1" s="36"/>
      <c r="AM1" s="36"/>
      <c r="AN1" s="36">
        <v>2020</v>
      </c>
      <c r="AO1" s="36"/>
      <c r="AP1" s="36"/>
      <c r="AQ1" s="36"/>
      <c r="AR1" s="36"/>
      <c r="AS1" s="36"/>
      <c r="AT1" s="36"/>
      <c r="AU1" s="36"/>
    </row>
    <row r="2" spans="1:52" x14ac:dyDescent="0.25">
      <c r="A2" s="60" t="s">
        <v>88</v>
      </c>
      <c r="B2" s="61" t="s">
        <v>89</v>
      </c>
      <c r="C2" s="42"/>
      <c r="D2" s="31" t="s">
        <v>0</v>
      </c>
      <c r="E2" s="31" t="s">
        <v>1</v>
      </c>
      <c r="F2" s="31" t="s">
        <v>2</v>
      </c>
      <c r="G2" s="31" t="s">
        <v>3</v>
      </c>
      <c r="H2" s="24" t="s">
        <v>4</v>
      </c>
      <c r="I2" s="24" t="s">
        <v>5</v>
      </c>
      <c r="J2" s="31" t="s">
        <v>6</v>
      </c>
      <c r="K2" s="31" t="s">
        <v>7</v>
      </c>
      <c r="L2" s="31" t="s">
        <v>8</v>
      </c>
      <c r="M2" s="31" t="s">
        <v>9</v>
      </c>
      <c r="N2" s="31" t="s">
        <v>10</v>
      </c>
      <c r="O2" s="31" t="s">
        <v>11</v>
      </c>
      <c r="P2" s="31" t="s">
        <v>0</v>
      </c>
      <c r="Q2" s="68" t="s">
        <v>1</v>
      </c>
      <c r="R2" s="31" t="s">
        <v>2</v>
      </c>
      <c r="S2" s="31" t="s">
        <v>3</v>
      </c>
      <c r="T2" s="24" t="s">
        <v>4</v>
      </c>
      <c r="U2" s="24" t="s">
        <v>5</v>
      </c>
      <c r="V2" s="31" t="s">
        <v>6</v>
      </c>
      <c r="W2" s="31" t="s">
        <v>7</v>
      </c>
      <c r="X2" s="31" t="s">
        <v>8</v>
      </c>
      <c r="Y2" s="31" t="s">
        <v>9</v>
      </c>
      <c r="Z2" s="31" t="s">
        <v>10</v>
      </c>
      <c r="AA2" s="31" t="s">
        <v>11</v>
      </c>
      <c r="AB2" s="31" t="s">
        <v>0</v>
      </c>
      <c r="AC2" s="68" t="s">
        <v>1</v>
      </c>
      <c r="AD2" s="31" t="s">
        <v>2</v>
      </c>
      <c r="AE2" s="68" t="s">
        <v>3</v>
      </c>
      <c r="AF2" s="24" t="s">
        <v>4</v>
      </c>
      <c r="AG2" s="24" t="s">
        <v>5</v>
      </c>
      <c r="AH2" s="31" t="s">
        <v>6</v>
      </c>
      <c r="AI2" s="31" t="s">
        <v>7</v>
      </c>
      <c r="AJ2" s="31" t="s">
        <v>8</v>
      </c>
      <c r="AK2" s="31" t="s">
        <v>9</v>
      </c>
      <c r="AL2" s="31" t="s">
        <v>10</v>
      </c>
      <c r="AM2" s="31" t="s">
        <v>11</v>
      </c>
      <c r="AN2" s="31" t="s">
        <v>0</v>
      </c>
      <c r="AO2" s="68" t="s">
        <v>1</v>
      </c>
      <c r="AP2" s="31" t="s">
        <v>2</v>
      </c>
      <c r="AQ2" s="68" t="s">
        <v>3</v>
      </c>
      <c r="AR2" s="24" t="s">
        <v>4</v>
      </c>
      <c r="AS2" s="25" t="s">
        <v>5</v>
      </c>
      <c r="AT2" s="31" t="s">
        <v>6</v>
      </c>
      <c r="AU2" s="68" t="s">
        <v>109</v>
      </c>
    </row>
    <row r="3" spans="1:52" x14ac:dyDescent="0.25">
      <c r="A3" s="62" t="s">
        <v>90</v>
      </c>
      <c r="B3" s="62" t="s">
        <v>70</v>
      </c>
      <c r="C3" s="43" t="s">
        <v>20</v>
      </c>
      <c r="D3" s="56">
        <v>274</v>
      </c>
      <c r="E3" s="56">
        <v>276</v>
      </c>
      <c r="F3" s="56">
        <v>290</v>
      </c>
      <c r="G3" s="56">
        <v>270</v>
      </c>
      <c r="H3" s="56">
        <v>277</v>
      </c>
      <c r="I3" s="56">
        <v>269</v>
      </c>
      <c r="J3" s="56">
        <v>262</v>
      </c>
      <c r="K3" s="56">
        <v>257</v>
      </c>
      <c r="L3" s="56">
        <v>263</v>
      </c>
      <c r="M3" s="56">
        <v>220</v>
      </c>
      <c r="N3" s="56">
        <v>210</v>
      </c>
      <c r="O3" s="56">
        <v>202</v>
      </c>
      <c r="P3" s="56">
        <v>224</v>
      </c>
      <c r="Q3" s="56">
        <v>212</v>
      </c>
      <c r="R3" s="56">
        <v>187</v>
      </c>
      <c r="S3" s="56">
        <v>174</v>
      </c>
      <c r="T3" s="56">
        <v>205</v>
      </c>
      <c r="U3" s="56">
        <v>184</v>
      </c>
      <c r="V3" s="56">
        <v>182</v>
      </c>
      <c r="W3" s="56">
        <v>183</v>
      </c>
      <c r="X3" s="56">
        <v>172</v>
      </c>
      <c r="Y3" s="56">
        <v>157</v>
      </c>
      <c r="Z3" s="56">
        <v>160</v>
      </c>
      <c r="AA3" s="56">
        <v>146</v>
      </c>
      <c r="AB3" s="56">
        <v>155</v>
      </c>
      <c r="AC3" s="56">
        <v>157</v>
      </c>
      <c r="AD3" s="56">
        <v>143</v>
      </c>
      <c r="AE3" s="56">
        <v>130</v>
      </c>
      <c r="AF3" s="56">
        <v>157</v>
      </c>
      <c r="AG3" s="56">
        <v>150</v>
      </c>
      <c r="AH3" s="56">
        <v>138</v>
      </c>
      <c r="AI3" s="56">
        <v>130</v>
      </c>
      <c r="AJ3" s="56">
        <v>142</v>
      </c>
      <c r="AK3" s="56">
        <v>142</v>
      </c>
      <c r="AL3" s="56">
        <v>128</v>
      </c>
      <c r="AM3" s="56">
        <v>116</v>
      </c>
      <c r="AN3" s="56">
        <v>131</v>
      </c>
      <c r="AO3" s="56">
        <v>132</v>
      </c>
      <c r="AP3" s="56">
        <v>138</v>
      </c>
      <c r="AQ3" s="56">
        <v>154</v>
      </c>
      <c r="AR3" s="56">
        <v>159</v>
      </c>
      <c r="AS3" s="56">
        <v>198</v>
      </c>
      <c r="AT3" s="56">
        <v>199</v>
      </c>
      <c r="AU3" s="56">
        <f>AT3-AS3</f>
        <v>1</v>
      </c>
      <c r="AV3" s="43" t="s">
        <v>20</v>
      </c>
      <c r="AZ3" s="94"/>
    </row>
    <row r="4" spans="1:52" x14ac:dyDescent="0.25">
      <c r="A4" s="62" t="s">
        <v>91</v>
      </c>
      <c r="B4" s="62" t="s">
        <v>71</v>
      </c>
      <c r="C4" s="43" t="s">
        <v>21</v>
      </c>
      <c r="D4" s="56">
        <v>61</v>
      </c>
      <c r="E4" s="56">
        <v>58</v>
      </c>
      <c r="F4" s="56">
        <v>58</v>
      </c>
      <c r="G4" s="56">
        <v>59</v>
      </c>
      <c r="H4" s="56">
        <v>58</v>
      </c>
      <c r="I4" s="56">
        <v>50</v>
      </c>
      <c r="J4" s="56">
        <v>49</v>
      </c>
      <c r="K4" s="56">
        <v>47</v>
      </c>
      <c r="L4" s="56">
        <v>46</v>
      </c>
      <c r="M4" s="56">
        <v>46</v>
      </c>
      <c r="N4" s="56">
        <v>44</v>
      </c>
      <c r="O4" s="56">
        <v>39</v>
      </c>
      <c r="P4" s="56">
        <v>38</v>
      </c>
      <c r="Q4" s="56">
        <v>40</v>
      </c>
      <c r="R4" s="56">
        <v>41</v>
      </c>
      <c r="S4" s="56">
        <v>43</v>
      </c>
      <c r="T4" s="56">
        <v>37</v>
      </c>
      <c r="U4" s="56">
        <v>40</v>
      </c>
      <c r="V4" s="56">
        <v>41</v>
      </c>
      <c r="W4" s="56">
        <v>37</v>
      </c>
      <c r="X4" s="56">
        <v>38</v>
      </c>
      <c r="Y4" s="56">
        <v>43</v>
      </c>
      <c r="Z4" s="56">
        <v>45</v>
      </c>
      <c r="AA4" s="56">
        <v>50</v>
      </c>
      <c r="AB4" s="56">
        <v>46</v>
      </c>
      <c r="AC4" s="56">
        <v>47</v>
      </c>
      <c r="AD4" s="56">
        <v>41</v>
      </c>
      <c r="AE4" s="56">
        <v>36</v>
      </c>
      <c r="AF4" s="56">
        <v>34</v>
      </c>
      <c r="AG4" s="56">
        <v>31</v>
      </c>
      <c r="AH4" s="56">
        <v>32</v>
      </c>
      <c r="AI4" s="56">
        <v>28</v>
      </c>
      <c r="AJ4" s="56">
        <v>31</v>
      </c>
      <c r="AK4" s="56">
        <v>35</v>
      </c>
      <c r="AL4" s="56">
        <v>37</v>
      </c>
      <c r="AM4" s="56">
        <v>29</v>
      </c>
      <c r="AN4" s="56">
        <v>27</v>
      </c>
      <c r="AO4" s="56">
        <v>28</v>
      </c>
      <c r="AP4" s="56">
        <v>34</v>
      </c>
      <c r="AQ4" s="56">
        <v>38</v>
      </c>
      <c r="AR4" s="56">
        <v>39</v>
      </c>
      <c r="AS4" s="56">
        <v>41</v>
      </c>
      <c r="AT4" s="56">
        <v>37</v>
      </c>
      <c r="AU4" s="56">
        <f t="shared" ref="AU4:AU19" si="0">AT4-AS4</f>
        <v>-4</v>
      </c>
      <c r="AV4" s="43" t="s">
        <v>21</v>
      </c>
      <c r="AZ4" s="94"/>
    </row>
    <row r="5" spans="1:52" x14ac:dyDescent="0.25">
      <c r="A5" s="62" t="s">
        <v>92</v>
      </c>
      <c r="B5" s="62" t="s">
        <v>72</v>
      </c>
      <c r="C5" s="44" t="s">
        <v>22</v>
      </c>
      <c r="D5" s="56">
        <v>2869</v>
      </c>
      <c r="E5" s="56">
        <v>2826</v>
      </c>
      <c r="F5" s="56">
        <v>2713</v>
      </c>
      <c r="G5" s="56">
        <v>2573</v>
      </c>
      <c r="H5" s="56">
        <v>2480</v>
      </c>
      <c r="I5" s="56">
        <v>2407</v>
      </c>
      <c r="J5" s="56">
        <v>2369</v>
      </c>
      <c r="K5" s="56">
        <v>2368</v>
      </c>
      <c r="L5" s="56">
        <v>2379</v>
      </c>
      <c r="M5" s="56">
        <v>2291</v>
      </c>
      <c r="N5" s="56">
        <v>2288</v>
      </c>
      <c r="O5" s="56">
        <v>2231</v>
      </c>
      <c r="P5" s="56">
        <v>2251</v>
      </c>
      <c r="Q5" s="56">
        <v>2140</v>
      </c>
      <c r="R5" s="56">
        <v>2031</v>
      </c>
      <c r="S5" s="56">
        <v>1904</v>
      </c>
      <c r="T5" s="56">
        <v>1839</v>
      </c>
      <c r="U5" s="56">
        <v>1786</v>
      </c>
      <c r="V5" s="56">
        <v>1690</v>
      </c>
      <c r="W5" s="56">
        <v>1651</v>
      </c>
      <c r="X5" s="56">
        <v>1671</v>
      </c>
      <c r="Y5" s="56">
        <v>1671</v>
      </c>
      <c r="Z5" s="56">
        <v>1679</v>
      </c>
      <c r="AA5" s="56">
        <v>1624</v>
      </c>
      <c r="AB5" s="56">
        <v>1714</v>
      </c>
      <c r="AC5" s="56">
        <v>1751</v>
      </c>
      <c r="AD5" s="56">
        <v>1665</v>
      </c>
      <c r="AE5" s="56">
        <v>1540</v>
      </c>
      <c r="AF5" s="56">
        <v>1459</v>
      </c>
      <c r="AG5" s="56">
        <v>1449</v>
      </c>
      <c r="AH5" s="56">
        <v>1418</v>
      </c>
      <c r="AI5" s="56">
        <v>1391</v>
      </c>
      <c r="AJ5" s="56">
        <v>1414</v>
      </c>
      <c r="AK5" s="56">
        <v>1385</v>
      </c>
      <c r="AL5" s="56">
        <v>1424</v>
      </c>
      <c r="AM5" s="56">
        <v>1370</v>
      </c>
      <c r="AN5" s="56">
        <v>1413</v>
      </c>
      <c r="AO5" s="56">
        <v>1426</v>
      </c>
      <c r="AP5" s="56">
        <v>1495</v>
      </c>
      <c r="AQ5" s="56">
        <v>1630</v>
      </c>
      <c r="AR5" s="56">
        <v>1700</v>
      </c>
      <c r="AS5" s="56">
        <v>1742</v>
      </c>
      <c r="AT5" s="56">
        <v>1728</v>
      </c>
      <c r="AU5" s="56">
        <f t="shared" si="0"/>
        <v>-14</v>
      </c>
      <c r="AV5" s="44" t="s">
        <v>22</v>
      </c>
      <c r="AZ5" s="94"/>
    </row>
    <row r="6" spans="1:52" x14ac:dyDescent="0.25">
      <c r="A6" s="62" t="s">
        <v>93</v>
      </c>
      <c r="B6" s="62" t="s">
        <v>73</v>
      </c>
      <c r="C6" s="44" t="s">
        <v>23</v>
      </c>
      <c r="D6" s="56">
        <v>21</v>
      </c>
      <c r="E6" s="56">
        <v>20</v>
      </c>
      <c r="F6" s="56">
        <v>16</v>
      </c>
      <c r="G6" s="56">
        <v>18</v>
      </c>
      <c r="H6" s="56">
        <v>20</v>
      </c>
      <c r="I6" s="56">
        <v>17</v>
      </c>
      <c r="J6" s="56">
        <v>17</v>
      </c>
      <c r="K6" s="56">
        <v>15</v>
      </c>
      <c r="L6" s="56">
        <v>17</v>
      </c>
      <c r="M6" s="56">
        <v>18</v>
      </c>
      <c r="N6" s="56">
        <v>16</v>
      </c>
      <c r="O6" s="56">
        <v>14</v>
      </c>
      <c r="P6" s="56">
        <v>18</v>
      </c>
      <c r="Q6" s="56">
        <v>18</v>
      </c>
      <c r="R6" s="56">
        <v>21</v>
      </c>
      <c r="S6" s="56">
        <v>20</v>
      </c>
      <c r="T6" s="56">
        <v>17</v>
      </c>
      <c r="U6" s="56">
        <v>14</v>
      </c>
      <c r="V6" s="56">
        <v>15</v>
      </c>
      <c r="W6" s="56">
        <v>13</v>
      </c>
      <c r="X6" s="56">
        <v>13</v>
      </c>
      <c r="Y6" s="56">
        <v>10</v>
      </c>
      <c r="Z6" s="56">
        <v>11</v>
      </c>
      <c r="AA6" s="56">
        <v>11</v>
      </c>
      <c r="AB6" s="56">
        <v>13</v>
      </c>
      <c r="AC6" s="56">
        <v>12</v>
      </c>
      <c r="AD6" s="56">
        <v>11</v>
      </c>
      <c r="AE6" s="56">
        <v>12</v>
      </c>
      <c r="AF6" s="56">
        <v>9</v>
      </c>
      <c r="AG6" s="56">
        <v>10</v>
      </c>
      <c r="AH6" s="56">
        <v>11</v>
      </c>
      <c r="AI6" s="56">
        <v>13</v>
      </c>
      <c r="AJ6" s="56">
        <v>10</v>
      </c>
      <c r="AK6" s="56">
        <v>11</v>
      </c>
      <c r="AL6" s="56">
        <v>13</v>
      </c>
      <c r="AM6" s="56">
        <v>12</v>
      </c>
      <c r="AN6" s="56">
        <v>12</v>
      </c>
      <c r="AO6" s="56">
        <v>13</v>
      </c>
      <c r="AP6" s="56">
        <v>12</v>
      </c>
      <c r="AQ6" s="56">
        <v>13</v>
      </c>
      <c r="AR6" s="56">
        <v>15</v>
      </c>
      <c r="AS6" s="98">
        <v>15</v>
      </c>
      <c r="AT6" s="56">
        <v>14</v>
      </c>
      <c r="AU6" s="56">
        <f t="shared" si="0"/>
        <v>-1</v>
      </c>
      <c r="AV6" s="44" t="s">
        <v>23</v>
      </c>
      <c r="AZ6" s="94"/>
    </row>
    <row r="7" spans="1:52" x14ac:dyDescent="0.25">
      <c r="A7" s="62" t="s">
        <v>94</v>
      </c>
      <c r="B7" s="62" t="s">
        <v>74</v>
      </c>
      <c r="C7" s="45" t="s">
        <v>24</v>
      </c>
      <c r="D7" s="56">
        <v>116</v>
      </c>
      <c r="E7" s="56">
        <v>109</v>
      </c>
      <c r="F7" s="56">
        <v>111</v>
      </c>
      <c r="G7" s="56">
        <v>101</v>
      </c>
      <c r="H7" s="56">
        <v>96</v>
      </c>
      <c r="I7" s="56">
        <v>91</v>
      </c>
      <c r="J7" s="56">
        <v>97</v>
      </c>
      <c r="K7" s="56">
        <v>95</v>
      </c>
      <c r="L7" s="56">
        <v>99</v>
      </c>
      <c r="M7" s="56">
        <v>88</v>
      </c>
      <c r="N7" s="56">
        <v>101</v>
      </c>
      <c r="O7" s="56">
        <v>92</v>
      </c>
      <c r="P7" s="56">
        <v>103</v>
      </c>
      <c r="Q7" s="56">
        <v>99</v>
      </c>
      <c r="R7" s="56">
        <v>103</v>
      </c>
      <c r="S7" s="56">
        <v>96</v>
      </c>
      <c r="T7" s="56">
        <v>87</v>
      </c>
      <c r="U7" s="56">
        <v>84</v>
      </c>
      <c r="V7" s="56">
        <v>80</v>
      </c>
      <c r="W7" s="56">
        <v>89</v>
      </c>
      <c r="X7" s="56">
        <v>90</v>
      </c>
      <c r="Y7" s="56">
        <v>80</v>
      </c>
      <c r="Z7" s="56">
        <v>95</v>
      </c>
      <c r="AA7" s="56">
        <v>95</v>
      </c>
      <c r="AB7" s="56">
        <v>92</v>
      </c>
      <c r="AC7" s="56">
        <v>98</v>
      </c>
      <c r="AD7" s="56">
        <v>83</v>
      </c>
      <c r="AE7" s="56">
        <v>74</v>
      </c>
      <c r="AF7" s="56">
        <v>70</v>
      </c>
      <c r="AG7" s="56">
        <v>70</v>
      </c>
      <c r="AH7" s="56">
        <v>65</v>
      </c>
      <c r="AI7" s="56">
        <v>70</v>
      </c>
      <c r="AJ7" s="56">
        <v>74</v>
      </c>
      <c r="AK7" s="56">
        <v>76</v>
      </c>
      <c r="AL7" s="56">
        <v>78</v>
      </c>
      <c r="AM7" s="56">
        <v>75</v>
      </c>
      <c r="AN7" s="56">
        <v>80</v>
      </c>
      <c r="AO7" s="56">
        <v>76</v>
      </c>
      <c r="AP7" s="56">
        <v>87</v>
      </c>
      <c r="AQ7" s="56">
        <v>93</v>
      </c>
      <c r="AR7" s="56">
        <v>100</v>
      </c>
      <c r="AS7" s="98">
        <v>96</v>
      </c>
      <c r="AT7" s="56">
        <v>97</v>
      </c>
      <c r="AU7" s="56">
        <f t="shared" si="0"/>
        <v>1</v>
      </c>
      <c r="AV7" s="45" t="s">
        <v>24</v>
      </c>
      <c r="AZ7" s="94"/>
    </row>
    <row r="8" spans="1:52" x14ac:dyDescent="0.25">
      <c r="A8" s="62" t="s">
        <v>95</v>
      </c>
      <c r="B8" s="62" t="s">
        <v>75</v>
      </c>
      <c r="C8" s="45" t="s">
        <v>25</v>
      </c>
      <c r="D8" s="56">
        <v>3498</v>
      </c>
      <c r="E8" s="56">
        <v>3397</v>
      </c>
      <c r="F8" s="56">
        <v>3317</v>
      </c>
      <c r="G8" s="56">
        <v>3114</v>
      </c>
      <c r="H8" s="56">
        <v>3007</v>
      </c>
      <c r="I8" s="56">
        <v>2900</v>
      </c>
      <c r="J8" s="56">
        <v>2826</v>
      </c>
      <c r="K8" s="56">
        <v>2773</v>
      </c>
      <c r="L8" s="56">
        <v>2638</v>
      </c>
      <c r="M8" s="56">
        <v>2491</v>
      </c>
      <c r="N8" s="56">
        <v>2446</v>
      </c>
      <c r="O8" s="56">
        <v>2295</v>
      </c>
      <c r="P8" s="56">
        <v>2376</v>
      </c>
      <c r="Q8" s="56">
        <v>2330</v>
      </c>
      <c r="R8" s="56">
        <v>2220</v>
      </c>
      <c r="S8" s="56">
        <v>2091</v>
      </c>
      <c r="T8" s="56">
        <v>2049</v>
      </c>
      <c r="U8" s="56">
        <v>2004</v>
      </c>
      <c r="V8" s="56">
        <v>1889</v>
      </c>
      <c r="W8" s="56">
        <v>1827</v>
      </c>
      <c r="X8" s="56">
        <v>1825</v>
      </c>
      <c r="Y8" s="56">
        <v>1777</v>
      </c>
      <c r="Z8" s="56">
        <v>1813</v>
      </c>
      <c r="AA8" s="56">
        <v>1766</v>
      </c>
      <c r="AB8" s="56">
        <v>1850</v>
      </c>
      <c r="AC8" s="56">
        <v>1822</v>
      </c>
      <c r="AD8" s="56">
        <v>1670</v>
      </c>
      <c r="AE8" s="56">
        <v>1522</v>
      </c>
      <c r="AF8" s="56">
        <v>1473</v>
      </c>
      <c r="AG8" s="56">
        <v>1401</v>
      </c>
      <c r="AH8" s="56">
        <v>1363</v>
      </c>
      <c r="AI8" s="56">
        <v>1256</v>
      </c>
      <c r="AJ8" s="56">
        <v>1268</v>
      </c>
      <c r="AK8" s="56">
        <v>1229</v>
      </c>
      <c r="AL8" s="56">
        <v>1217</v>
      </c>
      <c r="AM8" s="56">
        <v>1155</v>
      </c>
      <c r="AN8" s="56">
        <v>1253</v>
      </c>
      <c r="AO8" s="56">
        <v>1219</v>
      </c>
      <c r="AP8" s="56">
        <v>1376</v>
      </c>
      <c r="AQ8" s="56">
        <v>1545</v>
      </c>
      <c r="AR8" s="56">
        <v>1611</v>
      </c>
      <c r="AS8" s="98">
        <v>1573</v>
      </c>
      <c r="AT8" s="56">
        <v>1549</v>
      </c>
      <c r="AU8" s="56">
        <f t="shared" si="0"/>
        <v>-24</v>
      </c>
      <c r="AV8" s="45" t="s">
        <v>25</v>
      </c>
      <c r="AZ8" s="94"/>
    </row>
    <row r="9" spans="1:52" x14ac:dyDescent="0.25">
      <c r="A9" s="62" t="s">
        <v>96</v>
      </c>
      <c r="B9" s="62" t="s">
        <v>76</v>
      </c>
      <c r="C9" s="44" t="s">
        <v>26</v>
      </c>
      <c r="D9" s="56">
        <v>7089</v>
      </c>
      <c r="E9" s="56">
        <v>7211</v>
      </c>
      <c r="F9" s="56">
        <v>7064</v>
      </c>
      <c r="G9" s="56">
        <v>6389</v>
      </c>
      <c r="H9" s="56">
        <v>6017</v>
      </c>
      <c r="I9" s="56">
        <v>5757</v>
      </c>
      <c r="J9" s="56">
        <v>5678</v>
      </c>
      <c r="K9" s="56">
        <v>5602</v>
      </c>
      <c r="L9" s="56">
        <v>5536</v>
      </c>
      <c r="M9" s="56">
        <v>5343</v>
      </c>
      <c r="N9" s="56">
        <v>5879</v>
      </c>
      <c r="O9" s="56">
        <v>5808</v>
      </c>
      <c r="P9" s="56">
        <v>5980</v>
      </c>
      <c r="Q9" s="56">
        <v>5870</v>
      </c>
      <c r="R9" s="56">
        <v>5488</v>
      </c>
      <c r="S9" s="56">
        <v>4964</v>
      </c>
      <c r="T9" s="56">
        <v>4755</v>
      </c>
      <c r="U9" s="56">
        <v>4551</v>
      </c>
      <c r="V9" s="56">
        <v>4367</v>
      </c>
      <c r="W9" s="56">
        <v>4270</v>
      </c>
      <c r="X9" s="56">
        <v>4266</v>
      </c>
      <c r="Y9" s="56">
        <v>4221</v>
      </c>
      <c r="Z9" s="56">
        <v>4748</v>
      </c>
      <c r="AA9" s="56">
        <v>4615</v>
      </c>
      <c r="AB9" s="56">
        <v>4822</v>
      </c>
      <c r="AC9" s="56">
        <v>4819</v>
      </c>
      <c r="AD9" s="56">
        <v>4585</v>
      </c>
      <c r="AE9" s="56">
        <v>3970</v>
      </c>
      <c r="AF9" s="56">
        <v>3658</v>
      </c>
      <c r="AG9" s="56">
        <v>3564</v>
      </c>
      <c r="AH9" s="56">
        <v>3623</v>
      </c>
      <c r="AI9" s="56">
        <v>3586</v>
      </c>
      <c r="AJ9" s="56">
        <v>3637</v>
      </c>
      <c r="AK9" s="56">
        <v>3610</v>
      </c>
      <c r="AL9" s="56">
        <v>4072</v>
      </c>
      <c r="AM9" s="56">
        <v>3969</v>
      </c>
      <c r="AN9" s="56">
        <v>4202</v>
      </c>
      <c r="AO9" s="56">
        <v>4212</v>
      </c>
      <c r="AP9" s="56">
        <v>4400</v>
      </c>
      <c r="AQ9" s="56">
        <v>4898</v>
      </c>
      <c r="AR9" s="56">
        <v>5162</v>
      </c>
      <c r="AS9" s="98">
        <v>5321</v>
      </c>
      <c r="AT9" s="56">
        <v>5347</v>
      </c>
      <c r="AU9" s="56">
        <f t="shared" si="0"/>
        <v>26</v>
      </c>
      <c r="AV9" s="44" t="s">
        <v>26</v>
      </c>
      <c r="AZ9" s="94"/>
    </row>
    <row r="10" spans="1:52" x14ac:dyDescent="0.25">
      <c r="A10" s="62" t="s">
        <v>97</v>
      </c>
      <c r="B10" s="62" t="s">
        <v>77</v>
      </c>
      <c r="C10" s="44" t="s">
        <v>27</v>
      </c>
      <c r="D10" s="56">
        <v>1618</v>
      </c>
      <c r="E10" s="56">
        <v>1612</v>
      </c>
      <c r="F10" s="56">
        <v>1508</v>
      </c>
      <c r="G10" s="56">
        <v>1176</v>
      </c>
      <c r="H10" s="56">
        <v>972</v>
      </c>
      <c r="I10" s="56">
        <v>905</v>
      </c>
      <c r="J10" s="56">
        <v>890</v>
      </c>
      <c r="K10" s="56">
        <v>873</v>
      </c>
      <c r="L10" s="56">
        <v>851</v>
      </c>
      <c r="M10" s="56">
        <v>850</v>
      </c>
      <c r="N10" s="56">
        <v>1281</v>
      </c>
      <c r="O10" s="56">
        <v>1404</v>
      </c>
      <c r="P10" s="56">
        <v>1386</v>
      </c>
      <c r="Q10" s="56">
        <v>1366</v>
      </c>
      <c r="R10" s="56">
        <v>1213</v>
      </c>
      <c r="S10" s="56">
        <v>891</v>
      </c>
      <c r="T10" s="56">
        <v>705</v>
      </c>
      <c r="U10" s="56">
        <v>681</v>
      </c>
      <c r="V10" s="56">
        <v>647</v>
      </c>
      <c r="W10" s="56">
        <v>626</v>
      </c>
      <c r="X10" s="56">
        <v>594</v>
      </c>
      <c r="Y10" s="56">
        <v>648</v>
      </c>
      <c r="Z10" s="56">
        <v>1325</v>
      </c>
      <c r="AA10" s="56">
        <v>1448</v>
      </c>
      <c r="AB10" s="56">
        <v>1459</v>
      </c>
      <c r="AC10" s="56">
        <v>1407</v>
      </c>
      <c r="AD10" s="56">
        <v>1260</v>
      </c>
      <c r="AE10" s="56">
        <v>876</v>
      </c>
      <c r="AF10" s="56">
        <v>648</v>
      </c>
      <c r="AG10" s="56">
        <v>600</v>
      </c>
      <c r="AH10" s="56">
        <v>577</v>
      </c>
      <c r="AI10" s="56">
        <v>577</v>
      </c>
      <c r="AJ10" s="56">
        <v>562</v>
      </c>
      <c r="AK10" s="56">
        <v>588</v>
      </c>
      <c r="AL10" s="56">
        <v>1125</v>
      </c>
      <c r="AM10" s="56">
        <v>1190</v>
      </c>
      <c r="AN10" s="56">
        <v>1228</v>
      </c>
      <c r="AO10" s="56">
        <v>1143</v>
      </c>
      <c r="AP10" s="56">
        <v>1172</v>
      </c>
      <c r="AQ10" s="56">
        <v>1283</v>
      </c>
      <c r="AR10" s="56">
        <v>1405</v>
      </c>
      <c r="AS10" s="98">
        <v>1420</v>
      </c>
      <c r="AT10" s="56">
        <v>1437</v>
      </c>
      <c r="AU10" s="56">
        <f t="shared" si="0"/>
        <v>17</v>
      </c>
      <c r="AV10" s="44" t="s">
        <v>27</v>
      </c>
      <c r="AZ10" s="94"/>
    </row>
    <row r="11" spans="1:52" x14ac:dyDescent="0.25">
      <c r="A11" s="62" t="s">
        <v>98</v>
      </c>
      <c r="B11" s="62" t="s">
        <v>78</v>
      </c>
      <c r="C11" s="45" t="s">
        <v>28</v>
      </c>
      <c r="D11" s="56">
        <v>10738</v>
      </c>
      <c r="E11" s="56">
        <v>10523</v>
      </c>
      <c r="F11" s="56">
        <v>8612</v>
      </c>
      <c r="G11" s="56">
        <v>5145</v>
      </c>
      <c r="H11" s="56">
        <v>3588</v>
      </c>
      <c r="I11" s="56">
        <v>3215</v>
      </c>
      <c r="J11" s="56">
        <v>3077</v>
      </c>
      <c r="K11" s="56">
        <v>2977</v>
      </c>
      <c r="L11" s="56">
        <v>2955</v>
      </c>
      <c r="M11" s="56">
        <v>3170</v>
      </c>
      <c r="N11" s="56">
        <v>8940</v>
      </c>
      <c r="O11" s="56">
        <v>10372</v>
      </c>
      <c r="P11" s="56">
        <v>10608</v>
      </c>
      <c r="Q11" s="56">
        <v>9983</v>
      </c>
      <c r="R11" s="56">
        <v>7646</v>
      </c>
      <c r="S11" s="56">
        <v>3892</v>
      </c>
      <c r="T11" s="56">
        <v>2692</v>
      </c>
      <c r="U11" s="56">
        <v>2457</v>
      </c>
      <c r="V11" s="56">
        <v>2293</v>
      </c>
      <c r="W11" s="56">
        <v>2183</v>
      </c>
      <c r="X11" s="56">
        <v>2226</v>
      </c>
      <c r="Y11" s="56">
        <v>2504</v>
      </c>
      <c r="Z11" s="56">
        <v>8623</v>
      </c>
      <c r="AA11" s="56">
        <v>9578</v>
      </c>
      <c r="AB11" s="56">
        <v>10030</v>
      </c>
      <c r="AC11" s="56">
        <v>9610</v>
      </c>
      <c r="AD11" s="56">
        <v>7515</v>
      </c>
      <c r="AE11" s="56">
        <v>3672</v>
      </c>
      <c r="AF11" s="56">
        <v>2108</v>
      </c>
      <c r="AG11" s="56">
        <v>1972</v>
      </c>
      <c r="AH11" s="56">
        <v>1961</v>
      </c>
      <c r="AI11" s="56">
        <v>1872</v>
      </c>
      <c r="AJ11" s="56">
        <v>1911</v>
      </c>
      <c r="AK11" s="56">
        <v>2319</v>
      </c>
      <c r="AL11" s="56">
        <v>8292</v>
      </c>
      <c r="AM11" s="56">
        <v>9290</v>
      </c>
      <c r="AN11" s="56">
        <v>9632</v>
      </c>
      <c r="AO11" s="56">
        <v>9214</v>
      </c>
      <c r="AP11" s="56">
        <v>9028</v>
      </c>
      <c r="AQ11" s="56">
        <v>9457</v>
      </c>
      <c r="AR11" s="56">
        <v>9293</v>
      </c>
      <c r="AS11" s="98">
        <v>8852</v>
      </c>
      <c r="AT11" s="56">
        <v>8216</v>
      </c>
      <c r="AU11" s="56">
        <f t="shared" si="0"/>
        <v>-636</v>
      </c>
      <c r="AV11" s="45" t="s">
        <v>28</v>
      </c>
      <c r="AZ11" s="94"/>
    </row>
    <row r="12" spans="1:52" x14ac:dyDescent="0.25">
      <c r="A12" s="62" t="s">
        <v>99</v>
      </c>
      <c r="B12" s="62" t="s">
        <v>79</v>
      </c>
      <c r="C12" s="45" t="s">
        <v>29</v>
      </c>
      <c r="D12" s="56">
        <v>557</v>
      </c>
      <c r="E12" s="56">
        <v>556</v>
      </c>
      <c r="F12" s="56">
        <v>554</v>
      </c>
      <c r="G12" s="56">
        <v>551</v>
      </c>
      <c r="H12" s="56">
        <v>557</v>
      </c>
      <c r="I12" s="56">
        <v>610</v>
      </c>
      <c r="J12" s="56">
        <v>605</v>
      </c>
      <c r="K12" s="56">
        <v>583</v>
      </c>
      <c r="L12" s="56">
        <v>551</v>
      </c>
      <c r="M12" s="56">
        <v>531</v>
      </c>
      <c r="N12" s="56">
        <v>552</v>
      </c>
      <c r="O12" s="56">
        <v>518</v>
      </c>
      <c r="P12" s="56">
        <v>520</v>
      </c>
      <c r="Q12" s="56">
        <v>527</v>
      </c>
      <c r="R12" s="56">
        <v>502</v>
      </c>
      <c r="S12" s="56">
        <v>496</v>
      </c>
      <c r="T12" s="56">
        <v>487</v>
      </c>
      <c r="U12" s="56">
        <v>497</v>
      </c>
      <c r="V12" s="56">
        <v>515</v>
      </c>
      <c r="W12" s="56">
        <v>537</v>
      </c>
      <c r="X12" s="56">
        <v>479</v>
      </c>
      <c r="Y12" s="56">
        <v>442</v>
      </c>
      <c r="Z12" s="56">
        <v>430</v>
      </c>
      <c r="AA12" s="56">
        <v>460</v>
      </c>
      <c r="AB12" s="56">
        <v>453</v>
      </c>
      <c r="AC12" s="56">
        <v>445</v>
      </c>
      <c r="AD12" s="56">
        <v>432</v>
      </c>
      <c r="AE12" s="56">
        <v>432</v>
      </c>
      <c r="AF12" s="56">
        <v>426</v>
      </c>
      <c r="AG12" s="56">
        <v>438</v>
      </c>
      <c r="AH12" s="56">
        <v>475</v>
      </c>
      <c r="AI12" s="56">
        <v>456</v>
      </c>
      <c r="AJ12" s="56">
        <v>416</v>
      </c>
      <c r="AK12" s="56">
        <v>404</v>
      </c>
      <c r="AL12" s="56">
        <v>403</v>
      </c>
      <c r="AM12" s="56">
        <v>411</v>
      </c>
      <c r="AN12" s="56">
        <v>419</v>
      </c>
      <c r="AO12" s="56">
        <v>415</v>
      </c>
      <c r="AP12" s="56">
        <v>468</v>
      </c>
      <c r="AQ12" s="56">
        <v>551</v>
      </c>
      <c r="AR12" s="56">
        <v>624</v>
      </c>
      <c r="AS12" s="98">
        <v>645</v>
      </c>
      <c r="AT12" s="56">
        <v>682</v>
      </c>
      <c r="AU12" s="56">
        <f t="shared" si="0"/>
        <v>37</v>
      </c>
      <c r="AV12" s="45" t="s">
        <v>29</v>
      </c>
      <c r="AZ12" s="94"/>
    </row>
    <row r="13" spans="1:52" x14ac:dyDescent="0.25">
      <c r="A13" s="62" t="s">
        <v>100</v>
      </c>
      <c r="B13" s="62" t="s">
        <v>80</v>
      </c>
      <c r="C13" s="43" t="s">
        <v>30</v>
      </c>
      <c r="D13" s="56">
        <v>1484</v>
      </c>
      <c r="E13" s="56">
        <v>1472</v>
      </c>
      <c r="F13" s="56">
        <v>1424</v>
      </c>
      <c r="G13" s="56">
        <v>1323</v>
      </c>
      <c r="H13" s="56">
        <v>1272</v>
      </c>
      <c r="I13" s="56">
        <v>1188</v>
      </c>
      <c r="J13" s="56">
        <v>1147</v>
      </c>
      <c r="K13" s="56">
        <v>1051</v>
      </c>
      <c r="L13" s="56">
        <v>1006</v>
      </c>
      <c r="M13" s="56">
        <v>927</v>
      </c>
      <c r="N13" s="56">
        <v>879</v>
      </c>
      <c r="O13" s="56">
        <v>881</v>
      </c>
      <c r="P13" s="56">
        <v>928</v>
      </c>
      <c r="Q13" s="56">
        <v>948</v>
      </c>
      <c r="R13" s="56">
        <v>996</v>
      </c>
      <c r="S13" s="56">
        <v>948</v>
      </c>
      <c r="T13" s="56">
        <v>925</v>
      </c>
      <c r="U13" s="56">
        <v>932</v>
      </c>
      <c r="V13" s="56">
        <v>947</v>
      </c>
      <c r="W13" s="56">
        <v>946</v>
      </c>
      <c r="X13" s="56">
        <v>1278</v>
      </c>
      <c r="Y13" s="56">
        <v>1366</v>
      </c>
      <c r="Z13" s="56">
        <v>1420</v>
      </c>
      <c r="AA13" s="56">
        <v>1398</v>
      </c>
      <c r="AB13" s="56">
        <v>1552</v>
      </c>
      <c r="AC13" s="56">
        <v>1541</v>
      </c>
      <c r="AD13" s="56">
        <v>1550</v>
      </c>
      <c r="AE13" s="56">
        <v>1467</v>
      </c>
      <c r="AF13" s="56">
        <v>1419</v>
      </c>
      <c r="AG13" s="56">
        <v>1378</v>
      </c>
      <c r="AH13" s="56">
        <v>1309</v>
      </c>
      <c r="AI13" s="56">
        <v>1256</v>
      </c>
      <c r="AJ13" s="56">
        <v>1210</v>
      </c>
      <c r="AK13" s="56">
        <v>1135</v>
      </c>
      <c r="AL13" s="56">
        <v>1352</v>
      </c>
      <c r="AM13" s="56">
        <v>1306</v>
      </c>
      <c r="AN13" s="56">
        <v>1296</v>
      </c>
      <c r="AO13" s="56">
        <v>1247</v>
      </c>
      <c r="AP13" s="56">
        <v>1268</v>
      </c>
      <c r="AQ13" s="56">
        <v>1383</v>
      </c>
      <c r="AR13" s="56">
        <v>1418</v>
      </c>
      <c r="AS13" s="98">
        <v>1384</v>
      </c>
      <c r="AT13" s="56">
        <v>1407</v>
      </c>
      <c r="AU13" s="56">
        <f t="shared" si="0"/>
        <v>23</v>
      </c>
      <c r="AV13" s="43" t="s">
        <v>30</v>
      </c>
      <c r="AZ13" s="94"/>
    </row>
    <row r="14" spans="1:52" x14ac:dyDescent="0.25">
      <c r="A14" s="62" t="s">
        <v>101</v>
      </c>
      <c r="B14" s="62" t="s">
        <v>81</v>
      </c>
      <c r="C14" s="43" t="s">
        <v>31</v>
      </c>
      <c r="D14" s="56">
        <v>428</v>
      </c>
      <c r="E14" s="56">
        <v>413</v>
      </c>
      <c r="F14" s="56">
        <v>406</v>
      </c>
      <c r="G14" s="56">
        <v>363</v>
      </c>
      <c r="H14" s="56">
        <v>332</v>
      </c>
      <c r="I14" s="56">
        <v>300</v>
      </c>
      <c r="J14" s="56">
        <v>249</v>
      </c>
      <c r="K14" s="56">
        <v>208</v>
      </c>
      <c r="L14" s="56">
        <v>191</v>
      </c>
      <c r="M14" s="56">
        <v>192</v>
      </c>
      <c r="N14" s="56">
        <v>240</v>
      </c>
      <c r="O14" s="56">
        <v>245</v>
      </c>
      <c r="P14" s="56">
        <v>276</v>
      </c>
      <c r="Q14" s="56">
        <v>268</v>
      </c>
      <c r="R14" s="56">
        <v>244</v>
      </c>
      <c r="S14" s="56">
        <v>182</v>
      </c>
      <c r="T14" s="56">
        <v>169</v>
      </c>
      <c r="U14" s="56">
        <v>156</v>
      </c>
      <c r="V14" s="56">
        <v>153</v>
      </c>
      <c r="W14" s="56">
        <v>155</v>
      </c>
      <c r="X14" s="56">
        <v>161</v>
      </c>
      <c r="Y14" s="56">
        <v>161</v>
      </c>
      <c r="Z14" s="56">
        <v>246</v>
      </c>
      <c r="AA14" s="56">
        <v>235</v>
      </c>
      <c r="AB14" s="56">
        <v>239</v>
      </c>
      <c r="AC14" s="56">
        <v>234</v>
      </c>
      <c r="AD14" s="56">
        <v>214</v>
      </c>
      <c r="AE14" s="56">
        <v>159</v>
      </c>
      <c r="AF14" s="56">
        <v>128</v>
      </c>
      <c r="AG14" s="56">
        <v>124</v>
      </c>
      <c r="AH14" s="56">
        <v>126</v>
      </c>
      <c r="AI14" s="56">
        <v>130</v>
      </c>
      <c r="AJ14" s="56">
        <v>127</v>
      </c>
      <c r="AK14" s="56">
        <v>150</v>
      </c>
      <c r="AL14" s="56">
        <v>219</v>
      </c>
      <c r="AM14" s="56">
        <v>238</v>
      </c>
      <c r="AN14" s="56">
        <v>247</v>
      </c>
      <c r="AO14" s="56">
        <v>244</v>
      </c>
      <c r="AP14" s="56">
        <v>261</v>
      </c>
      <c r="AQ14" s="56">
        <v>292</v>
      </c>
      <c r="AR14" s="56">
        <v>306</v>
      </c>
      <c r="AS14" s="98">
        <v>294</v>
      </c>
      <c r="AT14" s="56">
        <v>290</v>
      </c>
      <c r="AU14" s="56">
        <f t="shared" si="0"/>
        <v>-4</v>
      </c>
      <c r="AV14" s="43" t="s">
        <v>31</v>
      </c>
      <c r="AZ14" s="94"/>
    </row>
    <row r="15" spans="1:52" x14ac:dyDescent="0.25">
      <c r="A15" s="62" t="s">
        <v>102</v>
      </c>
      <c r="B15" s="62" t="s">
        <v>103</v>
      </c>
      <c r="C15" s="43" t="s">
        <v>32</v>
      </c>
      <c r="D15" s="56">
        <v>4253</v>
      </c>
      <c r="E15" s="56">
        <v>4031</v>
      </c>
      <c r="F15" s="56">
        <v>3473</v>
      </c>
      <c r="G15" s="56">
        <v>2755</v>
      </c>
      <c r="H15" s="56">
        <v>2440</v>
      </c>
      <c r="I15" s="56">
        <v>2903</v>
      </c>
      <c r="J15" s="56">
        <v>3438</v>
      </c>
      <c r="K15" s="56">
        <v>3325</v>
      </c>
      <c r="L15" s="56">
        <v>2260</v>
      </c>
      <c r="M15" s="56">
        <v>2068</v>
      </c>
      <c r="N15" s="56">
        <v>2328</v>
      </c>
      <c r="O15" s="56">
        <v>3232</v>
      </c>
      <c r="P15" s="56">
        <v>2707</v>
      </c>
      <c r="Q15" s="56">
        <v>2029</v>
      </c>
      <c r="R15" s="56">
        <v>2024</v>
      </c>
      <c r="S15" s="56">
        <v>1722</v>
      </c>
      <c r="T15" s="56">
        <v>1677</v>
      </c>
      <c r="U15" s="56">
        <v>2171</v>
      </c>
      <c r="V15" s="56">
        <v>2660</v>
      </c>
      <c r="W15" s="56">
        <v>2516</v>
      </c>
      <c r="X15" s="56">
        <v>1680</v>
      </c>
      <c r="Y15" s="56">
        <v>1346</v>
      </c>
      <c r="Z15" s="56">
        <v>1389</v>
      </c>
      <c r="AA15" s="56">
        <v>2095</v>
      </c>
      <c r="AB15" s="56">
        <v>2124</v>
      </c>
      <c r="AC15" s="56">
        <v>1437</v>
      </c>
      <c r="AD15" s="56">
        <v>1439</v>
      </c>
      <c r="AE15" s="56">
        <v>1261</v>
      </c>
      <c r="AF15" s="56">
        <v>1144</v>
      </c>
      <c r="AG15" s="56">
        <v>1777</v>
      </c>
      <c r="AH15" s="56">
        <v>2202</v>
      </c>
      <c r="AI15" s="56">
        <v>2125</v>
      </c>
      <c r="AJ15" s="56">
        <v>1050</v>
      </c>
      <c r="AK15" s="56">
        <v>826</v>
      </c>
      <c r="AL15" s="56">
        <v>922</v>
      </c>
      <c r="AM15" s="56">
        <v>1069</v>
      </c>
      <c r="AN15" s="56">
        <v>1085</v>
      </c>
      <c r="AO15" s="56">
        <v>1003</v>
      </c>
      <c r="AP15" s="56">
        <v>1034</v>
      </c>
      <c r="AQ15" s="56">
        <v>1149</v>
      </c>
      <c r="AR15" s="56">
        <v>1202</v>
      </c>
      <c r="AS15" s="98">
        <v>1854</v>
      </c>
      <c r="AT15" s="56">
        <v>2234</v>
      </c>
      <c r="AU15" s="56">
        <f t="shared" si="0"/>
        <v>380</v>
      </c>
      <c r="AV15" s="43" t="s">
        <v>32</v>
      </c>
      <c r="AZ15" s="94"/>
    </row>
    <row r="16" spans="1:52" x14ac:dyDescent="0.25">
      <c r="A16" s="62" t="s">
        <v>104</v>
      </c>
      <c r="B16" s="62" t="s">
        <v>105</v>
      </c>
      <c r="C16" s="43" t="s">
        <v>33</v>
      </c>
      <c r="D16" s="56">
        <v>509</v>
      </c>
      <c r="E16" s="56">
        <v>517</v>
      </c>
      <c r="F16" s="56">
        <v>510</v>
      </c>
      <c r="G16" s="56">
        <v>498</v>
      </c>
      <c r="H16" s="56">
        <v>468</v>
      </c>
      <c r="I16" s="56">
        <v>468</v>
      </c>
      <c r="J16" s="56">
        <v>505</v>
      </c>
      <c r="K16" s="56">
        <v>485</v>
      </c>
      <c r="L16" s="56">
        <v>479</v>
      </c>
      <c r="M16" s="56">
        <v>454</v>
      </c>
      <c r="N16" s="56">
        <v>476</v>
      </c>
      <c r="O16" s="56">
        <v>455</v>
      </c>
      <c r="P16" s="56">
        <v>460</v>
      </c>
      <c r="Q16" s="56">
        <v>456</v>
      </c>
      <c r="R16" s="56">
        <v>416</v>
      </c>
      <c r="S16" s="56">
        <v>410</v>
      </c>
      <c r="T16" s="56">
        <v>410</v>
      </c>
      <c r="U16" s="56">
        <v>411</v>
      </c>
      <c r="V16" s="56">
        <v>420</v>
      </c>
      <c r="W16" s="56">
        <v>436</v>
      </c>
      <c r="X16" s="56">
        <v>405</v>
      </c>
      <c r="Y16" s="56">
        <v>388</v>
      </c>
      <c r="Z16" s="56">
        <v>389</v>
      </c>
      <c r="AA16" s="56">
        <v>376</v>
      </c>
      <c r="AB16" s="56">
        <v>381</v>
      </c>
      <c r="AC16" s="56">
        <v>372</v>
      </c>
      <c r="AD16" s="56">
        <v>363</v>
      </c>
      <c r="AE16" s="56">
        <v>338</v>
      </c>
      <c r="AF16" s="56">
        <v>329</v>
      </c>
      <c r="AG16" s="56">
        <v>314</v>
      </c>
      <c r="AH16" s="56">
        <v>355</v>
      </c>
      <c r="AI16" s="56">
        <v>373</v>
      </c>
      <c r="AJ16" s="56">
        <v>354</v>
      </c>
      <c r="AK16" s="56">
        <v>347</v>
      </c>
      <c r="AL16" s="56">
        <v>343</v>
      </c>
      <c r="AM16" s="56">
        <v>341</v>
      </c>
      <c r="AN16" s="56">
        <v>347</v>
      </c>
      <c r="AO16" s="56">
        <v>339</v>
      </c>
      <c r="AP16" s="56">
        <v>379</v>
      </c>
      <c r="AQ16" s="56">
        <v>424</v>
      </c>
      <c r="AR16" s="56">
        <v>463</v>
      </c>
      <c r="AS16" s="98">
        <v>482</v>
      </c>
      <c r="AT16" s="56">
        <v>528</v>
      </c>
      <c r="AU16" s="56">
        <f t="shared" si="0"/>
        <v>46</v>
      </c>
      <c r="AV16" s="43" t="s">
        <v>33</v>
      </c>
      <c r="AZ16" s="94"/>
    </row>
    <row r="17" spans="1:52" x14ac:dyDescent="0.25">
      <c r="A17" s="55"/>
      <c r="B17" s="59"/>
      <c r="C17" s="43" t="s">
        <v>34</v>
      </c>
      <c r="D17" s="56">
        <v>4907</v>
      </c>
      <c r="E17" s="56">
        <v>4831</v>
      </c>
      <c r="F17" s="56">
        <v>4670</v>
      </c>
      <c r="G17" s="56">
        <v>4252</v>
      </c>
      <c r="H17" s="56">
        <v>4137</v>
      </c>
      <c r="I17" s="56">
        <v>5060</v>
      </c>
      <c r="J17" s="56">
        <v>6084</v>
      </c>
      <c r="K17" s="56">
        <v>5888</v>
      </c>
      <c r="L17" s="56">
        <v>4285</v>
      </c>
      <c r="M17" s="56">
        <v>3768</v>
      </c>
      <c r="N17" s="56">
        <v>4244</v>
      </c>
      <c r="O17" s="56">
        <v>4337</v>
      </c>
      <c r="P17" s="56">
        <v>4440</v>
      </c>
      <c r="Q17" s="56">
        <v>4346</v>
      </c>
      <c r="R17" s="56">
        <v>4064</v>
      </c>
      <c r="S17" s="56">
        <v>3630</v>
      </c>
      <c r="T17" s="56">
        <v>3501</v>
      </c>
      <c r="U17" s="56">
        <v>4510</v>
      </c>
      <c r="V17" s="56">
        <v>5635</v>
      </c>
      <c r="W17" s="56">
        <v>5335</v>
      </c>
      <c r="X17" s="56">
        <v>3656</v>
      </c>
      <c r="Y17" s="56">
        <v>3116</v>
      </c>
      <c r="Z17" s="56">
        <v>3757</v>
      </c>
      <c r="AA17" s="56">
        <v>3778</v>
      </c>
      <c r="AB17" s="56">
        <v>3885</v>
      </c>
      <c r="AC17" s="56">
        <v>3900</v>
      </c>
      <c r="AD17" s="56">
        <v>3585</v>
      </c>
      <c r="AE17" s="56">
        <v>3043</v>
      </c>
      <c r="AF17" s="56">
        <v>2868</v>
      </c>
      <c r="AG17" s="56">
        <v>3869</v>
      </c>
      <c r="AH17" s="56">
        <v>5104</v>
      </c>
      <c r="AI17" s="56">
        <v>4866</v>
      </c>
      <c r="AJ17" s="56">
        <v>3080</v>
      </c>
      <c r="AK17" s="56">
        <v>2796</v>
      </c>
      <c r="AL17" s="56">
        <v>3468</v>
      </c>
      <c r="AM17" s="56">
        <v>3464</v>
      </c>
      <c r="AN17" s="56">
        <v>3548</v>
      </c>
      <c r="AO17" s="56">
        <v>3595</v>
      </c>
      <c r="AP17" s="56">
        <v>3869</v>
      </c>
      <c r="AQ17" s="56">
        <v>4313</v>
      </c>
      <c r="AR17" s="56">
        <v>4668</v>
      </c>
      <c r="AS17" s="56">
        <f>1373+1197+1582+685+720+68+22</f>
        <v>5647</v>
      </c>
      <c r="AT17" s="56">
        <v>6866</v>
      </c>
      <c r="AU17" s="56">
        <f t="shared" si="0"/>
        <v>1219</v>
      </c>
      <c r="AV17" s="43" t="s">
        <v>34</v>
      </c>
      <c r="AZ17" s="94"/>
    </row>
    <row r="18" spans="1:52" x14ac:dyDescent="0.25">
      <c r="A18" s="55" t="s">
        <v>110</v>
      </c>
      <c r="B18" s="55"/>
      <c r="C18" s="44" t="s">
        <v>67</v>
      </c>
      <c r="D18" s="56">
        <v>4417</v>
      </c>
      <c r="E18" s="56">
        <v>4474</v>
      </c>
      <c r="F18" s="56">
        <v>4362</v>
      </c>
      <c r="G18" s="56">
        <v>4217</v>
      </c>
      <c r="H18" s="56">
        <v>4201</v>
      </c>
      <c r="I18" s="56">
        <v>4437</v>
      </c>
      <c r="J18" s="56">
        <v>4377</v>
      </c>
      <c r="K18" s="56">
        <v>4456</v>
      </c>
      <c r="L18" s="56">
        <v>4395</v>
      </c>
      <c r="M18" s="56">
        <v>3979</v>
      </c>
      <c r="N18" s="56">
        <v>3856</v>
      </c>
      <c r="O18" s="56">
        <v>3646</v>
      </c>
      <c r="P18" s="56">
        <v>3674</v>
      </c>
      <c r="Q18" s="56">
        <v>3572</v>
      </c>
      <c r="R18" s="56">
        <v>3420</v>
      </c>
      <c r="S18" s="56">
        <v>3440</v>
      </c>
      <c r="T18" s="56">
        <v>3284</v>
      </c>
      <c r="U18" s="56">
        <v>3330</v>
      </c>
      <c r="V18" s="56">
        <v>3269</v>
      </c>
      <c r="W18" s="56">
        <v>3062</v>
      </c>
      <c r="X18" s="56">
        <v>2845</v>
      </c>
      <c r="Y18" s="56">
        <v>2517</v>
      </c>
      <c r="Z18" s="56">
        <v>2384</v>
      </c>
      <c r="AA18" s="56">
        <v>2125</v>
      </c>
      <c r="AB18" s="56">
        <v>2136</v>
      </c>
      <c r="AC18" s="56">
        <v>2099</v>
      </c>
      <c r="AD18" s="56">
        <v>1952</v>
      </c>
      <c r="AE18" s="56">
        <v>1783</v>
      </c>
      <c r="AF18" s="56">
        <v>1677</v>
      </c>
      <c r="AG18" s="56">
        <v>1813</v>
      </c>
      <c r="AH18" s="56">
        <v>1823</v>
      </c>
      <c r="AI18" s="56">
        <v>1754</v>
      </c>
      <c r="AJ18" s="56">
        <v>1682</v>
      </c>
      <c r="AK18" s="56">
        <v>1491</v>
      </c>
      <c r="AL18" s="56">
        <v>1402</v>
      </c>
      <c r="AM18" s="56">
        <v>1250</v>
      </c>
      <c r="AN18" s="56">
        <v>1294</v>
      </c>
      <c r="AO18" s="56">
        <v>1314</v>
      </c>
      <c r="AP18" s="56">
        <v>1332</v>
      </c>
      <c r="AQ18" s="65">
        <v>1368</v>
      </c>
      <c r="AR18" s="65">
        <v>1439</v>
      </c>
      <c r="AS18" s="65">
        <f>1028+566</f>
        <v>1594</v>
      </c>
      <c r="AT18" s="56">
        <v>1682</v>
      </c>
      <c r="AU18" s="56">
        <f t="shared" si="0"/>
        <v>88</v>
      </c>
      <c r="AV18" s="44" t="s">
        <v>67</v>
      </c>
      <c r="AZ18" s="94"/>
    </row>
    <row r="19" spans="1:52" x14ac:dyDescent="0.25">
      <c r="A19" s="55"/>
      <c r="B19" s="55"/>
      <c r="C19" s="35" t="s">
        <v>12</v>
      </c>
      <c r="D19" s="86">
        <f t="shared" ref="D19:H19" si="1">SUM(D3:D18)</f>
        <v>42839</v>
      </c>
      <c r="E19" s="86">
        <f t="shared" si="1"/>
        <v>42326</v>
      </c>
      <c r="F19" s="86">
        <f t="shared" si="1"/>
        <v>39088</v>
      </c>
      <c r="G19" s="86">
        <f t="shared" si="1"/>
        <v>32804</v>
      </c>
      <c r="H19" s="86">
        <f t="shared" si="1"/>
        <v>29922</v>
      </c>
      <c r="I19" s="86">
        <f t="shared" ref="I19:AT19" si="2">SUM(I3:I18)</f>
        <v>30577</v>
      </c>
      <c r="J19" s="86">
        <f t="shared" si="2"/>
        <v>31670</v>
      </c>
      <c r="K19" s="86">
        <f t="shared" si="2"/>
        <v>31003</v>
      </c>
      <c r="L19" s="86">
        <f t="shared" si="2"/>
        <v>27951</v>
      </c>
      <c r="M19" s="86">
        <f t="shared" si="2"/>
        <v>26436</v>
      </c>
      <c r="N19" s="86">
        <f t="shared" si="2"/>
        <v>33780</v>
      </c>
      <c r="O19" s="86">
        <f t="shared" si="2"/>
        <v>35771</v>
      </c>
      <c r="P19" s="86">
        <f t="shared" si="2"/>
        <v>35989</v>
      </c>
      <c r="Q19" s="86">
        <f t="shared" si="2"/>
        <v>34204</v>
      </c>
      <c r="R19" s="86">
        <f t="shared" si="2"/>
        <v>30616</v>
      </c>
      <c r="S19" s="86">
        <f t="shared" si="2"/>
        <v>24903</v>
      </c>
      <c r="T19" s="86">
        <f t="shared" si="2"/>
        <v>22839</v>
      </c>
      <c r="U19" s="86">
        <f t="shared" si="2"/>
        <v>23808</v>
      </c>
      <c r="V19" s="86">
        <f t="shared" si="2"/>
        <v>24803</v>
      </c>
      <c r="W19" s="86">
        <f t="shared" si="2"/>
        <v>23866</v>
      </c>
      <c r="X19" s="86">
        <f t="shared" si="2"/>
        <v>21399</v>
      </c>
      <c r="Y19" s="86">
        <f t="shared" si="2"/>
        <v>20447</v>
      </c>
      <c r="Z19" s="86">
        <f t="shared" si="2"/>
        <v>28514</v>
      </c>
      <c r="AA19" s="86">
        <f t="shared" si="2"/>
        <v>29800</v>
      </c>
      <c r="AB19" s="86">
        <f t="shared" si="2"/>
        <v>30951</v>
      </c>
      <c r="AC19" s="86">
        <f t="shared" si="2"/>
        <v>29751</v>
      </c>
      <c r="AD19" s="86">
        <f t="shared" si="2"/>
        <v>26508</v>
      </c>
      <c r="AE19" s="86">
        <f t="shared" si="2"/>
        <v>20315</v>
      </c>
      <c r="AF19" s="86">
        <f t="shared" si="2"/>
        <v>17607</v>
      </c>
      <c r="AG19" s="86">
        <f t="shared" si="2"/>
        <v>18960</v>
      </c>
      <c r="AH19" s="86">
        <f t="shared" si="2"/>
        <v>20582</v>
      </c>
      <c r="AI19" s="86">
        <f t="shared" si="2"/>
        <v>19883</v>
      </c>
      <c r="AJ19" s="86">
        <f t="shared" si="2"/>
        <v>16968</v>
      </c>
      <c r="AK19" s="86">
        <f t="shared" si="2"/>
        <v>16544</v>
      </c>
      <c r="AL19" s="86">
        <f t="shared" si="2"/>
        <v>24495</v>
      </c>
      <c r="AM19" s="86">
        <f t="shared" si="2"/>
        <v>25285</v>
      </c>
      <c r="AN19" s="86">
        <f t="shared" si="2"/>
        <v>26214</v>
      </c>
      <c r="AO19" s="86">
        <f t="shared" si="2"/>
        <v>25620</v>
      </c>
      <c r="AP19" s="86">
        <f t="shared" si="2"/>
        <v>26353</v>
      </c>
      <c r="AQ19" s="86">
        <f t="shared" si="2"/>
        <v>28591</v>
      </c>
      <c r="AR19" s="86">
        <f t="shared" si="2"/>
        <v>29604</v>
      </c>
      <c r="AS19" s="86">
        <f t="shared" si="2"/>
        <v>31158</v>
      </c>
      <c r="AT19" s="86">
        <f t="shared" si="2"/>
        <v>32313</v>
      </c>
      <c r="AU19" s="56">
        <f t="shared" si="0"/>
        <v>1155</v>
      </c>
      <c r="AZ19" s="94"/>
    </row>
    <row r="20" spans="1:52" x14ac:dyDescent="0.25">
      <c r="A20" s="55"/>
      <c r="B20" s="55"/>
      <c r="C20" s="51" t="s">
        <v>111</v>
      </c>
    </row>
    <row r="21" spans="1:52" x14ac:dyDescent="0.25">
      <c r="A21" s="55"/>
      <c r="B21" s="55"/>
      <c r="AU21" s="94"/>
    </row>
    <row r="22" spans="1:52" x14ac:dyDescent="0.25">
      <c r="A22" s="55"/>
      <c r="B22" s="55"/>
      <c r="C22" s="53" t="s">
        <v>112</v>
      </c>
      <c r="D22" s="53"/>
    </row>
    <row r="23" spans="1:52" x14ac:dyDescent="0.25">
      <c r="A23" s="55"/>
      <c r="B23" s="55"/>
    </row>
    <row r="42" spans="3:3" x14ac:dyDescent="0.25">
      <c r="C42" s="50"/>
    </row>
    <row r="43" spans="3:3" x14ac:dyDescent="0.25">
      <c r="C43" s="46"/>
    </row>
    <row r="44" spans="3:3" x14ac:dyDescent="0.25">
      <c r="C44" s="55"/>
    </row>
    <row r="45" spans="3:3" x14ac:dyDescent="0.25">
      <c r="C45" s="55"/>
    </row>
    <row r="46" spans="3:3" x14ac:dyDescent="0.25">
      <c r="C46" s="56"/>
    </row>
    <row r="47" spans="3:3" x14ac:dyDescent="0.25">
      <c r="C47" s="56"/>
    </row>
    <row r="48" spans="3:3" x14ac:dyDescent="0.25">
      <c r="C48" s="56"/>
    </row>
    <row r="49" spans="3:3" x14ac:dyDescent="0.25">
      <c r="C49" s="56"/>
    </row>
    <row r="50" spans="3:3" x14ac:dyDescent="0.25">
      <c r="C50" s="56"/>
    </row>
    <row r="51" spans="3:3" x14ac:dyDescent="0.25">
      <c r="C51" s="56"/>
    </row>
    <row r="52" spans="3:3" x14ac:dyDescent="0.25">
      <c r="C52" s="56"/>
    </row>
    <row r="53" spans="3:3" x14ac:dyDescent="0.25">
      <c r="C53" s="56"/>
    </row>
    <row r="54" spans="3:3" x14ac:dyDescent="0.25">
      <c r="C54" s="56"/>
    </row>
    <row r="55" spans="3:3" x14ac:dyDescent="0.25">
      <c r="C55" s="56"/>
    </row>
    <row r="56" spans="3:3" x14ac:dyDescent="0.25">
      <c r="C56" s="56"/>
    </row>
    <row r="57" spans="3:3" x14ac:dyDescent="0.25">
      <c r="C57" s="56"/>
    </row>
    <row r="58" spans="3:3" ht="12.75" customHeight="1" x14ac:dyDescent="0.25">
      <c r="C58" s="56"/>
    </row>
    <row r="59" spans="3:3" x14ac:dyDescent="0.25">
      <c r="C59" s="56"/>
    </row>
    <row r="60" spans="3:3" x14ac:dyDescent="0.25">
      <c r="C60" s="56"/>
    </row>
    <row r="61" spans="3:3" x14ac:dyDescent="0.25">
      <c r="C61" s="56"/>
    </row>
    <row r="62" spans="3:3" x14ac:dyDescent="0.25">
      <c r="C62" s="86"/>
    </row>
    <row r="63" spans="3:3" x14ac:dyDescent="0.25">
      <c r="C63" s="62"/>
    </row>
    <row r="64" spans="3:3" x14ac:dyDescent="0.25">
      <c r="C64" s="62"/>
    </row>
    <row r="65" spans="3:3" x14ac:dyDescent="0.25">
      <c r="C65" s="62"/>
    </row>
    <row r="66" spans="3:3" x14ac:dyDescent="0.25">
      <c r="C66" s="62"/>
    </row>
    <row r="67" spans="3:3" x14ac:dyDescent="0.25">
      <c r="C67" s="62"/>
    </row>
    <row r="68" spans="3:3" x14ac:dyDescent="0.25">
      <c r="C68" s="62"/>
    </row>
    <row r="69" spans="3:3" x14ac:dyDescent="0.25">
      <c r="C69" s="62"/>
    </row>
    <row r="70" spans="3:3" x14ac:dyDescent="0.25">
      <c r="C70" s="62"/>
    </row>
    <row r="71" spans="3:3" x14ac:dyDescent="0.25">
      <c r="C71" s="62"/>
    </row>
    <row r="72" spans="3:3" x14ac:dyDescent="0.25">
      <c r="C72" s="62"/>
    </row>
    <row r="73" spans="3:3" x14ac:dyDescent="0.25">
      <c r="C73" s="62"/>
    </row>
    <row r="74" spans="3:3" x14ac:dyDescent="0.25">
      <c r="C74" s="62"/>
    </row>
    <row r="75" spans="3:3" x14ac:dyDescent="0.25">
      <c r="C75" s="62"/>
    </row>
    <row r="76" spans="3:3" x14ac:dyDescent="0.25">
      <c r="C76" s="62"/>
    </row>
    <row r="77" spans="3:3" x14ac:dyDescent="0.25">
      <c r="C77" s="55"/>
    </row>
    <row r="78" spans="3:3" x14ac:dyDescent="0.25">
      <c r="C78" s="5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X16"/>
  <sheetViews>
    <sheetView zoomScale="80" zoomScaleNormal="80" workbookViewId="0">
      <selection activeCell="AP29" sqref="AP29"/>
    </sheetView>
  </sheetViews>
  <sheetFormatPr defaultColWidth="9.140625" defaultRowHeight="15.75" x14ac:dyDescent="0.25"/>
  <cols>
    <col min="1" max="1" width="3.5703125" style="23" customWidth="1"/>
    <col min="2" max="2" width="33.42578125" style="23" customWidth="1"/>
    <col min="3" max="45" width="9.140625" style="23"/>
    <col min="46" max="46" width="18.28515625" style="23" customWidth="1"/>
    <col min="47" max="16384" width="9.140625" style="23"/>
  </cols>
  <sheetData>
    <row r="1" spans="1:50" x14ac:dyDescent="0.25">
      <c r="B1" s="27"/>
      <c r="C1" s="23">
        <v>2017</v>
      </c>
      <c r="N1" s="23">
        <v>2017</v>
      </c>
      <c r="O1" s="23">
        <v>2018</v>
      </c>
      <c r="AA1" s="23">
        <v>2019</v>
      </c>
      <c r="AG1" s="23">
        <v>2019</v>
      </c>
      <c r="AM1" s="23">
        <v>2020</v>
      </c>
    </row>
    <row r="2" spans="1:50" x14ac:dyDescent="0.25">
      <c r="B2" s="30"/>
      <c r="C2" s="27" t="s">
        <v>0</v>
      </c>
      <c r="D2" s="24" t="s">
        <v>1</v>
      </c>
      <c r="E2" s="27" t="s">
        <v>2</v>
      </c>
      <c r="F2" s="27" t="s">
        <v>3</v>
      </c>
      <c r="G2" s="31" t="s">
        <v>4</v>
      </c>
      <c r="H2" s="27" t="s">
        <v>5</v>
      </c>
      <c r="I2" s="31" t="s">
        <v>6</v>
      </c>
      <c r="J2" s="31" t="s">
        <v>7</v>
      </c>
      <c r="K2" s="31" t="s">
        <v>68</v>
      </c>
      <c r="L2" s="27" t="s">
        <v>117</v>
      </c>
      <c r="M2" s="27" t="s">
        <v>10</v>
      </c>
      <c r="N2" s="31" t="s">
        <v>11</v>
      </c>
      <c r="O2" s="27" t="s">
        <v>0</v>
      </c>
      <c r="P2" s="23" t="s">
        <v>1</v>
      </c>
      <c r="Q2" s="27" t="s">
        <v>2</v>
      </c>
      <c r="R2" s="27" t="s">
        <v>3</v>
      </c>
      <c r="S2" s="31" t="s">
        <v>4</v>
      </c>
      <c r="T2" s="27" t="s">
        <v>5</v>
      </c>
      <c r="U2" s="31" t="s">
        <v>6</v>
      </c>
      <c r="V2" s="31" t="s">
        <v>7</v>
      </c>
      <c r="W2" s="31" t="s">
        <v>68</v>
      </c>
      <c r="X2" s="27" t="s">
        <v>117</v>
      </c>
      <c r="Y2" s="27" t="s">
        <v>10</v>
      </c>
      <c r="Z2" s="31" t="s">
        <v>11</v>
      </c>
      <c r="AA2" s="27" t="s">
        <v>0</v>
      </c>
      <c r="AB2" s="23" t="s">
        <v>1</v>
      </c>
      <c r="AC2" s="27" t="s">
        <v>2</v>
      </c>
      <c r="AD2" s="23" t="s">
        <v>3</v>
      </c>
      <c r="AE2" s="31" t="s">
        <v>4</v>
      </c>
      <c r="AF2" s="27" t="s">
        <v>5</v>
      </c>
      <c r="AG2" s="31" t="s">
        <v>6</v>
      </c>
      <c r="AH2" s="31" t="s">
        <v>7</v>
      </c>
      <c r="AI2" s="31" t="s">
        <v>68</v>
      </c>
      <c r="AJ2" s="27" t="s">
        <v>117</v>
      </c>
      <c r="AK2" s="27" t="s">
        <v>10</v>
      </c>
      <c r="AL2" s="31" t="s">
        <v>11</v>
      </c>
      <c r="AM2" s="27" t="s">
        <v>0</v>
      </c>
      <c r="AN2" s="23" t="s">
        <v>1</v>
      </c>
      <c r="AO2" s="27" t="s">
        <v>2</v>
      </c>
      <c r="AP2" s="23" t="s">
        <v>3</v>
      </c>
      <c r="AQ2" s="31" t="s">
        <v>4</v>
      </c>
      <c r="AR2" s="68" t="s">
        <v>5</v>
      </c>
      <c r="AS2" s="31" t="s">
        <v>6</v>
      </c>
    </row>
    <row r="3" spans="1:50" x14ac:dyDescent="0.25">
      <c r="A3" s="23">
        <v>1</v>
      </c>
      <c r="B3" s="40" t="s">
        <v>35</v>
      </c>
      <c r="C3" s="23">
        <v>1287</v>
      </c>
      <c r="D3" s="56">
        <v>1236</v>
      </c>
      <c r="E3" s="56">
        <v>1187</v>
      </c>
      <c r="F3" s="23">
        <v>1071</v>
      </c>
      <c r="G3" s="56">
        <v>1039</v>
      </c>
      <c r="H3" s="56">
        <v>986</v>
      </c>
      <c r="I3" s="56">
        <v>973</v>
      </c>
      <c r="J3" s="56">
        <v>937</v>
      </c>
      <c r="K3" s="56">
        <v>901</v>
      </c>
      <c r="L3" s="23">
        <v>857</v>
      </c>
      <c r="M3" s="23">
        <v>916</v>
      </c>
      <c r="N3" s="23">
        <v>925</v>
      </c>
      <c r="O3" s="23">
        <v>920</v>
      </c>
      <c r="P3" s="23">
        <v>897</v>
      </c>
      <c r="Q3" s="56">
        <v>827</v>
      </c>
      <c r="R3" s="23">
        <v>774</v>
      </c>
      <c r="S3" s="56">
        <v>743</v>
      </c>
      <c r="T3" s="56">
        <v>739</v>
      </c>
      <c r="U3" s="56">
        <v>716</v>
      </c>
      <c r="V3" s="56">
        <v>732</v>
      </c>
      <c r="W3" s="56">
        <v>762</v>
      </c>
      <c r="X3" s="56">
        <v>754</v>
      </c>
      <c r="Y3" s="56">
        <v>859</v>
      </c>
      <c r="Z3" s="56">
        <v>864</v>
      </c>
      <c r="AA3" s="56">
        <v>880</v>
      </c>
      <c r="AB3" s="56">
        <v>871</v>
      </c>
      <c r="AC3" s="56">
        <v>830</v>
      </c>
      <c r="AD3" s="56">
        <v>792</v>
      </c>
      <c r="AE3" s="56">
        <v>766</v>
      </c>
      <c r="AF3" s="56">
        <v>736</v>
      </c>
      <c r="AG3" s="56">
        <v>727</v>
      </c>
      <c r="AH3" s="56">
        <v>699</v>
      </c>
      <c r="AI3" s="56">
        <v>706</v>
      </c>
      <c r="AJ3" s="56">
        <v>721</v>
      </c>
      <c r="AK3" s="56">
        <v>840</v>
      </c>
      <c r="AL3" s="56">
        <v>843</v>
      </c>
      <c r="AM3" s="56">
        <v>857</v>
      </c>
      <c r="AN3" s="56">
        <v>856</v>
      </c>
      <c r="AO3" s="56">
        <v>909</v>
      </c>
      <c r="AP3" s="56">
        <v>997</v>
      </c>
      <c r="AQ3" s="56">
        <v>1033</v>
      </c>
      <c r="AR3" s="65">
        <v>1033</v>
      </c>
      <c r="AS3" s="56">
        <v>1033</v>
      </c>
      <c r="AT3" s="40" t="s">
        <v>35</v>
      </c>
      <c r="AX3" s="94"/>
    </row>
    <row r="4" spans="1:50" x14ac:dyDescent="0.25">
      <c r="A4" s="23">
        <v>2</v>
      </c>
      <c r="B4" s="41" t="s">
        <v>85</v>
      </c>
      <c r="C4" s="23">
        <v>2653</v>
      </c>
      <c r="D4" s="56">
        <v>2618</v>
      </c>
      <c r="E4" s="56">
        <v>2546</v>
      </c>
      <c r="F4" s="23">
        <v>2480</v>
      </c>
      <c r="G4" s="56">
        <v>2428</v>
      </c>
      <c r="H4" s="56">
        <v>3320</v>
      </c>
      <c r="I4" s="56">
        <v>4115</v>
      </c>
      <c r="J4" s="56">
        <v>4022</v>
      </c>
      <c r="K4" s="56">
        <v>2739</v>
      </c>
      <c r="L4" s="23">
        <v>2228</v>
      </c>
      <c r="M4" s="23">
        <v>2188</v>
      </c>
      <c r="N4" s="23">
        <v>2141</v>
      </c>
      <c r="O4" s="23">
        <v>2142</v>
      </c>
      <c r="P4" s="23">
        <v>2051</v>
      </c>
      <c r="Q4" s="56">
        <v>1978</v>
      </c>
      <c r="R4" s="23">
        <v>1885</v>
      </c>
      <c r="S4" s="56">
        <v>1881</v>
      </c>
      <c r="T4" s="56">
        <v>2812</v>
      </c>
      <c r="U4" s="56">
        <v>3647</v>
      </c>
      <c r="V4" s="56">
        <v>3522</v>
      </c>
      <c r="W4" s="56">
        <v>2469</v>
      </c>
      <c r="X4" s="56">
        <v>1919</v>
      </c>
      <c r="Y4" s="56">
        <v>1946</v>
      </c>
      <c r="Z4" s="56">
        <v>1942</v>
      </c>
      <c r="AA4" s="56">
        <v>1931</v>
      </c>
      <c r="AB4" s="56">
        <v>1886</v>
      </c>
      <c r="AC4" s="56">
        <v>1798</v>
      </c>
      <c r="AD4" s="56">
        <v>1782</v>
      </c>
      <c r="AE4" s="56">
        <v>1813</v>
      </c>
      <c r="AF4" s="56">
        <v>2731</v>
      </c>
      <c r="AG4" s="56">
        <v>3596</v>
      </c>
      <c r="AH4" s="56">
        <v>3481</v>
      </c>
      <c r="AI4" s="56">
        <v>2104</v>
      </c>
      <c r="AJ4" s="56">
        <v>1735</v>
      </c>
      <c r="AK4" s="56">
        <v>1719</v>
      </c>
      <c r="AL4" s="56">
        <v>1724</v>
      </c>
      <c r="AM4" s="56">
        <v>1702</v>
      </c>
      <c r="AN4" s="56">
        <v>1728</v>
      </c>
      <c r="AO4" s="56">
        <v>1918</v>
      </c>
      <c r="AP4" s="56">
        <v>2246</v>
      </c>
      <c r="AQ4" s="56">
        <v>2398</v>
      </c>
      <c r="AR4" s="65">
        <v>3138</v>
      </c>
      <c r="AS4" s="56">
        <v>4130</v>
      </c>
      <c r="AT4" s="41" t="s">
        <v>85</v>
      </c>
      <c r="AX4" s="94"/>
    </row>
    <row r="5" spans="1:50" x14ac:dyDescent="0.25">
      <c r="A5" s="23">
        <v>3</v>
      </c>
      <c r="B5" s="41" t="s">
        <v>36</v>
      </c>
      <c r="C5" s="23">
        <v>2038</v>
      </c>
      <c r="D5" s="56">
        <v>1984</v>
      </c>
      <c r="E5" s="56">
        <v>1923</v>
      </c>
      <c r="F5" s="23">
        <v>1796</v>
      </c>
      <c r="G5" s="56">
        <v>1722</v>
      </c>
      <c r="H5" s="56">
        <v>1685</v>
      </c>
      <c r="I5" s="56">
        <v>1656</v>
      </c>
      <c r="J5" s="56">
        <v>1653</v>
      </c>
      <c r="K5" s="56">
        <v>1555</v>
      </c>
      <c r="L5" s="23">
        <v>1441</v>
      </c>
      <c r="M5" s="23">
        <v>1555</v>
      </c>
      <c r="N5" s="23">
        <v>1537</v>
      </c>
      <c r="O5" s="23">
        <v>1580</v>
      </c>
      <c r="P5" s="23">
        <v>1551</v>
      </c>
      <c r="Q5" s="56">
        <v>1506</v>
      </c>
      <c r="R5" s="23">
        <v>1367</v>
      </c>
      <c r="S5" s="56">
        <v>1322</v>
      </c>
      <c r="T5" s="56">
        <v>1308</v>
      </c>
      <c r="U5" s="56">
        <v>1291</v>
      </c>
      <c r="V5" s="56">
        <v>1322</v>
      </c>
      <c r="W5" s="56">
        <v>1225</v>
      </c>
      <c r="X5" s="56">
        <v>1169</v>
      </c>
      <c r="Y5" s="56">
        <v>1370</v>
      </c>
      <c r="Z5" s="56">
        <v>1387</v>
      </c>
      <c r="AA5" s="56">
        <v>1417</v>
      </c>
      <c r="AB5" s="56">
        <v>1409</v>
      </c>
      <c r="AC5" s="56">
        <v>1316</v>
      </c>
      <c r="AD5" s="56">
        <v>1161</v>
      </c>
      <c r="AE5" s="56">
        <v>1084</v>
      </c>
      <c r="AF5" s="56">
        <v>1077</v>
      </c>
      <c r="AG5" s="56">
        <v>1104</v>
      </c>
      <c r="AH5" s="56">
        <v>1130</v>
      </c>
      <c r="AI5" s="56">
        <v>1015</v>
      </c>
      <c r="AJ5" s="56">
        <v>965</v>
      </c>
      <c r="AK5" s="56">
        <v>1170</v>
      </c>
      <c r="AL5" s="56">
        <v>1193</v>
      </c>
      <c r="AM5" s="56">
        <v>1227</v>
      </c>
      <c r="AN5" s="56">
        <v>1204</v>
      </c>
      <c r="AO5" s="56">
        <v>1288</v>
      </c>
      <c r="AP5" s="56">
        <v>1432</v>
      </c>
      <c r="AQ5" s="56">
        <v>1533</v>
      </c>
      <c r="AR5" s="65">
        <v>1571</v>
      </c>
      <c r="AS5" s="56">
        <v>1563</v>
      </c>
      <c r="AT5" s="41" t="s">
        <v>36</v>
      </c>
      <c r="AX5" s="94"/>
    </row>
    <row r="6" spans="1:50" x14ac:dyDescent="0.25">
      <c r="A6" s="23">
        <v>4</v>
      </c>
      <c r="B6" s="40" t="s">
        <v>86</v>
      </c>
      <c r="C6" s="23">
        <v>5795</v>
      </c>
      <c r="D6" s="56">
        <v>5711</v>
      </c>
      <c r="E6" s="56">
        <v>5554</v>
      </c>
      <c r="F6" s="23">
        <v>4920</v>
      </c>
      <c r="G6" s="56">
        <v>4580</v>
      </c>
      <c r="H6" s="56">
        <v>4441</v>
      </c>
      <c r="I6" s="56">
        <v>4716</v>
      </c>
      <c r="J6" s="56">
        <v>4566</v>
      </c>
      <c r="K6" s="56">
        <v>4201</v>
      </c>
      <c r="L6" s="23">
        <v>4017</v>
      </c>
      <c r="M6" s="23">
        <v>4713</v>
      </c>
      <c r="N6" s="23">
        <v>4755</v>
      </c>
      <c r="O6" s="23">
        <v>4902</v>
      </c>
      <c r="P6" s="23">
        <v>4795</v>
      </c>
      <c r="Q6" s="56">
        <v>4444</v>
      </c>
      <c r="R6" s="23">
        <v>3866</v>
      </c>
      <c r="S6" s="56">
        <v>3606</v>
      </c>
      <c r="T6" s="56">
        <v>3530</v>
      </c>
      <c r="U6" s="56">
        <v>3748</v>
      </c>
      <c r="V6" s="56">
        <v>3612</v>
      </c>
      <c r="W6" s="56">
        <v>3537</v>
      </c>
      <c r="X6" s="56">
        <v>3537</v>
      </c>
      <c r="Y6" s="56">
        <v>4379</v>
      </c>
      <c r="Z6" s="56">
        <v>4441</v>
      </c>
      <c r="AA6" s="56">
        <v>4611</v>
      </c>
      <c r="AB6" s="56">
        <v>4559</v>
      </c>
      <c r="AC6" s="56">
        <v>4271</v>
      </c>
      <c r="AD6" s="56">
        <v>3556</v>
      </c>
      <c r="AE6" s="56">
        <v>3199</v>
      </c>
      <c r="AF6" s="56">
        <v>3112</v>
      </c>
      <c r="AG6" s="56">
        <v>3417</v>
      </c>
      <c r="AH6" s="56">
        <v>3236</v>
      </c>
      <c r="AI6" s="56">
        <v>2890</v>
      </c>
      <c r="AJ6" s="98">
        <v>2865</v>
      </c>
      <c r="AK6" s="56">
        <v>3843</v>
      </c>
      <c r="AL6" s="56">
        <v>3914</v>
      </c>
      <c r="AM6" s="56">
        <v>3980</v>
      </c>
      <c r="AN6" s="56">
        <v>3859</v>
      </c>
      <c r="AO6" s="56">
        <v>4001</v>
      </c>
      <c r="AP6" s="56">
        <v>4325</v>
      </c>
      <c r="AQ6" s="56">
        <v>4567</v>
      </c>
      <c r="AR6" s="65">
        <v>4651</v>
      </c>
      <c r="AS6" s="56">
        <v>4971</v>
      </c>
      <c r="AT6" s="40" t="s">
        <v>86</v>
      </c>
      <c r="AX6" s="94"/>
    </row>
    <row r="7" spans="1:50" x14ac:dyDescent="0.25">
      <c r="A7" s="23">
        <v>5</v>
      </c>
      <c r="B7" s="40" t="s">
        <v>84</v>
      </c>
      <c r="C7" s="23">
        <v>11749</v>
      </c>
      <c r="D7" s="56">
        <v>11724</v>
      </c>
      <c r="E7" s="56">
        <v>10582</v>
      </c>
      <c r="F7" s="23">
        <v>7789</v>
      </c>
      <c r="G7" s="56">
        <v>6425</v>
      </c>
      <c r="H7" s="56">
        <v>6575</v>
      </c>
      <c r="I7" s="56">
        <v>6508</v>
      </c>
      <c r="J7" s="56">
        <v>6388</v>
      </c>
      <c r="K7" s="56">
        <v>5693</v>
      </c>
      <c r="L7" s="23">
        <v>5593</v>
      </c>
      <c r="M7" s="23">
        <v>9276</v>
      </c>
      <c r="N7" s="23">
        <v>10290</v>
      </c>
      <c r="O7" s="23">
        <v>10599</v>
      </c>
      <c r="P7" s="23">
        <v>10044</v>
      </c>
      <c r="Q7" s="56">
        <v>8595</v>
      </c>
      <c r="R7" s="23">
        <v>5866</v>
      </c>
      <c r="S7" s="56">
        <v>5046</v>
      </c>
      <c r="T7" s="56">
        <v>5315</v>
      </c>
      <c r="U7" s="56">
        <v>5196</v>
      </c>
      <c r="V7" s="56">
        <v>5035</v>
      </c>
      <c r="W7" s="56">
        <v>4429</v>
      </c>
      <c r="X7" s="56">
        <v>4432</v>
      </c>
      <c r="Y7" s="56">
        <v>8291</v>
      </c>
      <c r="Z7" s="56">
        <v>8951</v>
      </c>
      <c r="AA7" s="56">
        <v>9498</v>
      </c>
      <c r="AB7" s="56">
        <v>9082</v>
      </c>
      <c r="AC7" s="56">
        <v>7939</v>
      </c>
      <c r="AD7" s="56">
        <v>5094</v>
      </c>
      <c r="AE7" s="56">
        <v>3952</v>
      </c>
      <c r="AF7" s="56">
        <v>4425</v>
      </c>
      <c r="AG7" s="56">
        <v>4589</v>
      </c>
      <c r="AH7" s="56">
        <v>4551</v>
      </c>
      <c r="AI7" s="56">
        <v>3809</v>
      </c>
      <c r="AJ7" s="98">
        <v>3896</v>
      </c>
      <c r="AK7" s="56">
        <v>7692</v>
      </c>
      <c r="AL7" s="56">
        <v>8117</v>
      </c>
      <c r="AM7" s="56">
        <v>8556</v>
      </c>
      <c r="AN7" s="56">
        <v>8305</v>
      </c>
      <c r="AO7" s="56">
        <v>8454</v>
      </c>
      <c r="AP7" s="56">
        <v>9159</v>
      </c>
      <c r="AQ7" s="56">
        <v>9381</v>
      </c>
      <c r="AR7" s="65">
        <v>9981</v>
      </c>
      <c r="AS7" s="56">
        <v>9672</v>
      </c>
      <c r="AT7" s="40" t="s">
        <v>84</v>
      </c>
      <c r="AX7" s="94"/>
    </row>
    <row r="8" spans="1:50" x14ac:dyDescent="0.25">
      <c r="A8" s="23">
        <v>6</v>
      </c>
      <c r="B8" s="40" t="s">
        <v>37</v>
      </c>
      <c r="C8" s="23">
        <v>137</v>
      </c>
      <c r="D8" s="56">
        <v>138</v>
      </c>
      <c r="E8" s="56">
        <v>133</v>
      </c>
      <c r="F8" s="23">
        <v>113</v>
      </c>
      <c r="G8" s="56">
        <v>100</v>
      </c>
      <c r="H8" s="56">
        <v>89</v>
      </c>
      <c r="I8" s="56">
        <v>85</v>
      </c>
      <c r="J8" s="56">
        <v>83</v>
      </c>
      <c r="K8" s="56">
        <v>83</v>
      </c>
      <c r="L8" s="23">
        <v>84</v>
      </c>
      <c r="M8" s="23">
        <v>118</v>
      </c>
      <c r="N8" s="23">
        <v>129</v>
      </c>
      <c r="O8" s="23">
        <v>125</v>
      </c>
      <c r="P8" s="23">
        <v>114</v>
      </c>
      <c r="Q8" s="56">
        <v>97</v>
      </c>
      <c r="R8" s="23">
        <v>76</v>
      </c>
      <c r="S8" s="56">
        <v>69</v>
      </c>
      <c r="T8" s="56">
        <v>63</v>
      </c>
      <c r="U8" s="56">
        <v>59</v>
      </c>
      <c r="V8" s="56">
        <v>56</v>
      </c>
      <c r="W8" s="56">
        <v>55</v>
      </c>
      <c r="X8" s="56">
        <v>49</v>
      </c>
      <c r="Y8" s="56">
        <v>80</v>
      </c>
      <c r="Z8" s="56">
        <v>83</v>
      </c>
      <c r="AA8" s="56">
        <v>92</v>
      </c>
      <c r="AB8" s="56">
        <v>83</v>
      </c>
      <c r="AC8" s="56">
        <v>65</v>
      </c>
      <c r="AD8" s="56">
        <v>46</v>
      </c>
      <c r="AE8" s="56">
        <v>38</v>
      </c>
      <c r="AF8" s="56">
        <v>29</v>
      </c>
      <c r="AG8" s="56">
        <v>31</v>
      </c>
      <c r="AH8" s="56">
        <v>32</v>
      </c>
      <c r="AI8" s="56">
        <v>34</v>
      </c>
      <c r="AJ8" s="98">
        <v>34</v>
      </c>
      <c r="AK8" s="56">
        <v>54</v>
      </c>
      <c r="AL8" s="56">
        <v>66</v>
      </c>
      <c r="AM8" s="56">
        <v>61</v>
      </c>
      <c r="AN8" s="56">
        <v>52</v>
      </c>
      <c r="AO8" s="56">
        <v>54</v>
      </c>
      <c r="AP8" s="56">
        <v>61</v>
      </c>
      <c r="AQ8" s="56">
        <v>64</v>
      </c>
      <c r="AR8" s="65">
        <v>57</v>
      </c>
      <c r="AS8" s="56">
        <v>60</v>
      </c>
      <c r="AT8" s="40" t="s">
        <v>37</v>
      </c>
      <c r="AX8" s="94"/>
    </row>
    <row r="9" spans="1:50" x14ac:dyDescent="0.25">
      <c r="A9" s="23">
        <v>7</v>
      </c>
      <c r="B9" s="40" t="s">
        <v>83</v>
      </c>
      <c r="C9" s="23">
        <v>3411</v>
      </c>
      <c r="D9" s="56">
        <v>3261</v>
      </c>
      <c r="E9" s="56">
        <v>3029</v>
      </c>
      <c r="F9" s="23">
        <v>2740</v>
      </c>
      <c r="G9" s="56">
        <v>2584</v>
      </c>
      <c r="H9" s="56">
        <v>2474</v>
      </c>
      <c r="I9" s="56">
        <v>2393</v>
      </c>
      <c r="J9" s="56">
        <v>2308</v>
      </c>
      <c r="K9" s="56">
        <v>2248</v>
      </c>
      <c r="L9" s="23">
        <v>2159</v>
      </c>
      <c r="M9" s="23">
        <v>2257</v>
      </c>
      <c r="N9" s="23">
        <v>2331</v>
      </c>
      <c r="O9" s="23">
        <v>2231</v>
      </c>
      <c r="P9" s="23">
        <v>2051</v>
      </c>
      <c r="Q9" s="56">
        <v>1925</v>
      </c>
      <c r="R9" s="23">
        <v>1733</v>
      </c>
      <c r="S9" s="56">
        <v>1679</v>
      </c>
      <c r="T9" s="56">
        <v>1641</v>
      </c>
      <c r="U9" s="56">
        <v>1539</v>
      </c>
      <c r="V9" s="56">
        <v>1505</v>
      </c>
      <c r="W9" s="56">
        <v>1491</v>
      </c>
      <c r="X9" s="56">
        <v>1457</v>
      </c>
      <c r="Y9" s="56">
        <v>1617</v>
      </c>
      <c r="Z9" s="56">
        <v>1674</v>
      </c>
      <c r="AA9" s="56">
        <v>1746</v>
      </c>
      <c r="AB9" s="56">
        <v>1628</v>
      </c>
      <c r="AC9" s="56">
        <v>1473</v>
      </c>
      <c r="AD9" s="56">
        <v>1323</v>
      </c>
      <c r="AE9" s="56">
        <v>1260</v>
      </c>
      <c r="AF9" s="56">
        <v>1211</v>
      </c>
      <c r="AG9" s="56">
        <v>1173</v>
      </c>
      <c r="AH9" s="56">
        <v>1111</v>
      </c>
      <c r="AI9" s="56">
        <v>1097</v>
      </c>
      <c r="AJ9" s="98">
        <v>1068</v>
      </c>
      <c r="AK9" s="56">
        <v>1144</v>
      </c>
      <c r="AL9" s="56">
        <v>1155</v>
      </c>
      <c r="AM9" s="56">
        <v>1179</v>
      </c>
      <c r="AN9" s="56">
        <v>1145</v>
      </c>
      <c r="AO9" s="56">
        <v>1258</v>
      </c>
      <c r="AP9" s="56">
        <v>1405</v>
      </c>
      <c r="AQ9" s="56">
        <v>1474</v>
      </c>
      <c r="AR9" s="65">
        <v>1463</v>
      </c>
      <c r="AS9" s="56">
        <v>1404</v>
      </c>
      <c r="AT9" s="40" t="s">
        <v>83</v>
      </c>
      <c r="AX9" s="94"/>
    </row>
    <row r="10" spans="1:50" x14ac:dyDescent="0.25">
      <c r="A10" s="23">
        <v>8</v>
      </c>
      <c r="B10" s="40" t="s">
        <v>38</v>
      </c>
      <c r="C10" s="23">
        <v>1475</v>
      </c>
      <c r="D10" s="56">
        <v>1491</v>
      </c>
      <c r="E10" s="56">
        <v>1382</v>
      </c>
      <c r="F10" s="23">
        <v>1138</v>
      </c>
      <c r="G10" s="56">
        <v>960</v>
      </c>
      <c r="H10" s="56">
        <v>901</v>
      </c>
      <c r="I10" s="56">
        <v>893</v>
      </c>
      <c r="J10" s="56">
        <v>881</v>
      </c>
      <c r="K10" s="56">
        <v>819</v>
      </c>
      <c r="L10" s="23">
        <v>809</v>
      </c>
      <c r="M10" s="23">
        <v>1183</v>
      </c>
      <c r="N10" s="23">
        <v>1241</v>
      </c>
      <c r="O10" s="23">
        <v>1236</v>
      </c>
      <c r="P10" s="23">
        <v>1228</v>
      </c>
      <c r="Q10" s="56">
        <v>1104</v>
      </c>
      <c r="R10" s="23">
        <v>838</v>
      </c>
      <c r="S10" s="56">
        <v>663</v>
      </c>
      <c r="T10" s="56">
        <v>628</v>
      </c>
      <c r="U10" s="56">
        <v>633</v>
      </c>
      <c r="V10" s="56">
        <v>615</v>
      </c>
      <c r="W10" s="56">
        <v>557</v>
      </c>
      <c r="X10" s="56">
        <v>578</v>
      </c>
      <c r="Y10" s="56">
        <v>1019</v>
      </c>
      <c r="Z10" s="56">
        <v>1107</v>
      </c>
      <c r="AA10" s="56">
        <v>1136</v>
      </c>
      <c r="AB10" s="56">
        <v>1138</v>
      </c>
      <c r="AC10" s="56">
        <v>1029</v>
      </c>
      <c r="AD10" s="56">
        <v>738</v>
      </c>
      <c r="AE10" s="56">
        <v>518</v>
      </c>
      <c r="AF10" s="56">
        <v>516</v>
      </c>
      <c r="AG10" s="56">
        <v>526</v>
      </c>
      <c r="AH10" s="56">
        <v>515</v>
      </c>
      <c r="AI10" s="56">
        <v>474</v>
      </c>
      <c r="AJ10" s="98">
        <v>479</v>
      </c>
      <c r="AK10" s="56">
        <v>893</v>
      </c>
      <c r="AL10" s="56">
        <v>969</v>
      </c>
      <c r="AM10" s="56">
        <v>1033</v>
      </c>
      <c r="AN10" s="56">
        <v>1012</v>
      </c>
      <c r="AO10" s="56">
        <v>1033</v>
      </c>
      <c r="AP10" s="56">
        <v>1116</v>
      </c>
      <c r="AQ10" s="56">
        <v>1126</v>
      </c>
      <c r="AR10" s="65">
        <v>1104</v>
      </c>
      <c r="AS10" s="56">
        <v>1103</v>
      </c>
      <c r="AT10" s="40" t="s">
        <v>38</v>
      </c>
      <c r="AX10" s="94"/>
    </row>
    <row r="11" spans="1:50" x14ac:dyDescent="0.25">
      <c r="A11" s="23">
        <v>9</v>
      </c>
      <c r="B11" s="40" t="s">
        <v>87</v>
      </c>
      <c r="C11" s="23">
        <v>9856</v>
      </c>
      <c r="D11" s="56">
        <v>9660</v>
      </c>
      <c r="E11" s="56">
        <v>8351</v>
      </c>
      <c r="F11" s="23">
        <v>6493</v>
      </c>
      <c r="G11" s="56">
        <v>5817</v>
      </c>
      <c r="H11" s="56">
        <v>5621</v>
      </c>
      <c r="I11" s="56">
        <v>5903</v>
      </c>
      <c r="J11" s="56">
        <v>5660</v>
      </c>
      <c r="K11" s="56">
        <v>5259</v>
      </c>
      <c r="L11" s="23">
        <v>5212</v>
      </c>
      <c r="M11" s="23">
        <v>7606</v>
      </c>
      <c r="N11" s="23">
        <v>8676</v>
      </c>
      <c r="O11" s="23">
        <v>8486</v>
      </c>
      <c r="P11" s="23">
        <v>7809</v>
      </c>
      <c r="Q11" s="56">
        <v>6634</v>
      </c>
      <c r="R11" s="23">
        <v>4988</v>
      </c>
      <c r="S11" s="56">
        <v>4484</v>
      </c>
      <c r="T11" s="56">
        <v>4376</v>
      </c>
      <c r="U11" s="56">
        <v>4637</v>
      </c>
      <c r="V11" s="56">
        <v>4343</v>
      </c>
      <c r="W11" s="56">
        <v>3960</v>
      </c>
      <c r="X11" s="56">
        <v>3960</v>
      </c>
      <c r="Y11" s="56">
        <v>6493</v>
      </c>
      <c r="Z11" s="56">
        <v>7157</v>
      </c>
      <c r="AA11" s="56">
        <v>7430</v>
      </c>
      <c r="AB11" s="56">
        <v>6926</v>
      </c>
      <c r="AC11" s="56">
        <v>5771</v>
      </c>
      <c r="AD11" s="56">
        <v>3981</v>
      </c>
      <c r="AE11" s="56">
        <v>3240</v>
      </c>
      <c r="AF11" s="56">
        <v>3242</v>
      </c>
      <c r="AG11" s="56">
        <v>3539</v>
      </c>
      <c r="AH11" s="56">
        <v>3312</v>
      </c>
      <c r="AI11" s="56">
        <v>3094</v>
      </c>
      <c r="AJ11" s="98">
        <v>3242</v>
      </c>
      <c r="AK11" s="56">
        <v>5690</v>
      </c>
      <c r="AL11" s="56">
        <v>6012</v>
      </c>
      <c r="AM11" s="56">
        <v>6279</v>
      </c>
      <c r="AN11" s="56">
        <v>6104</v>
      </c>
      <c r="AO11" s="56">
        <v>6062</v>
      </c>
      <c r="AP11" s="56">
        <v>6433</v>
      </c>
      <c r="AQ11" s="56">
        <v>6537</v>
      </c>
      <c r="AR11" s="65">
        <v>6510</v>
      </c>
      <c r="AS11" s="56">
        <v>6642</v>
      </c>
      <c r="AT11" s="40" t="s">
        <v>87</v>
      </c>
      <c r="AX11" s="94"/>
    </row>
    <row r="12" spans="1:50" x14ac:dyDescent="0.25">
      <c r="A12" s="23">
        <v>10</v>
      </c>
      <c r="B12" s="41" t="s">
        <v>39</v>
      </c>
      <c r="C12" s="23">
        <v>21</v>
      </c>
      <c r="D12" s="56">
        <v>29</v>
      </c>
      <c r="E12" s="56">
        <v>39</v>
      </c>
      <c r="F12" s="23">
        <v>47</v>
      </c>
      <c r="G12" s="56">
        <v>66</v>
      </c>
      <c r="H12" s="56">
        <v>48</v>
      </c>
      <c r="I12" s="56">
        <v>51</v>
      </c>
      <c r="J12" s="56">
        <v>49</v>
      </c>
      <c r="K12" s="56">
        <v>58</v>
      </c>
      <c r="L12" s="23">
        <v>57</v>
      </c>
      <c r="M12" s="23">
        <v>112</v>
      </c>
      <c r="N12" s="23">
        <v>100</v>
      </c>
      <c r="O12" s="23">
        <v>94</v>
      </c>
      <c r="P12" s="23">
        <v>92</v>
      </c>
      <c r="Q12" s="56">
        <v>86</v>
      </c>
      <c r="R12" s="23">
        <v>70</v>
      </c>
      <c r="S12" s="56">
        <v>62</v>
      </c>
      <c r="T12" s="56">
        <v>66</v>
      </c>
      <c r="U12" s="56">
        <v>68</v>
      </c>
      <c r="V12" s="56">
        <v>62</v>
      </c>
      <c r="W12" s="56">
        <v>69</v>
      </c>
      <c r="X12" s="56">
        <v>75</v>
      </c>
      <c r="Y12" s="56">
        <v>76</v>
      </c>
      <c r="Z12" s="56">
        <v>69</v>
      </c>
      <c r="AA12" s="56">
        <v>74</v>
      </c>
      <c r="AB12" s="56">
        <v>70</v>
      </c>
      <c r="AC12" s="56">
        <v>64</v>
      </c>
      <c r="AD12" s="56">
        <v>59</v>
      </c>
      <c r="AE12" s="56">
        <v>60</v>
      </c>
      <c r="AF12" s="56">
        <v>68</v>
      </c>
      <c r="AG12" s="56">
        <v>57</v>
      </c>
      <c r="AH12" s="56">
        <v>62</v>
      </c>
      <c r="AI12" s="56">
        <v>63</v>
      </c>
      <c r="AJ12" s="98">
        <v>48</v>
      </c>
      <c r="AK12" s="56">
        <v>48</v>
      </c>
      <c r="AL12" s="56">
        <v>42</v>
      </c>
      <c r="AM12" s="56">
        <v>46</v>
      </c>
      <c r="AN12" s="56">
        <v>41</v>
      </c>
      <c r="AO12" s="56">
        <v>44</v>
      </c>
      <c r="AP12" s="56">
        <v>49</v>
      </c>
      <c r="AQ12" s="56">
        <v>52</v>
      </c>
      <c r="AR12" s="56">
        <v>56</v>
      </c>
      <c r="AS12" s="56">
        <v>53</v>
      </c>
      <c r="AT12" s="41" t="s">
        <v>39</v>
      </c>
      <c r="AX12" s="94"/>
    </row>
    <row r="13" spans="1:50" x14ac:dyDescent="0.25">
      <c r="A13" s="23">
        <v>11</v>
      </c>
      <c r="B13" s="41" t="s">
        <v>40</v>
      </c>
      <c r="C13" s="23">
        <v>4417</v>
      </c>
      <c r="D13" s="56">
        <v>4474</v>
      </c>
      <c r="E13" s="56">
        <v>4362</v>
      </c>
      <c r="F13" s="23">
        <v>4217</v>
      </c>
      <c r="G13" s="56">
        <v>4201</v>
      </c>
      <c r="H13" s="56">
        <v>4437</v>
      </c>
      <c r="I13" s="56">
        <v>4377</v>
      </c>
      <c r="J13" s="56">
        <v>4456</v>
      </c>
      <c r="K13" s="56">
        <v>4395</v>
      </c>
      <c r="L13" s="23">
        <v>3979</v>
      </c>
      <c r="M13" s="23">
        <v>3856</v>
      </c>
      <c r="N13" s="23">
        <v>3646</v>
      </c>
      <c r="O13" s="23">
        <v>3674</v>
      </c>
      <c r="P13" s="23">
        <v>3572</v>
      </c>
      <c r="Q13" s="56">
        <v>3420</v>
      </c>
      <c r="R13" s="23">
        <v>3440</v>
      </c>
      <c r="S13" s="56">
        <v>3284</v>
      </c>
      <c r="T13" s="56">
        <v>3330</v>
      </c>
      <c r="U13" s="56">
        <v>3269</v>
      </c>
      <c r="V13" s="56">
        <v>3062</v>
      </c>
      <c r="W13" s="56">
        <v>2845</v>
      </c>
      <c r="X13" s="56">
        <v>2517</v>
      </c>
      <c r="Y13" s="56">
        <v>2384</v>
      </c>
      <c r="Z13" s="56">
        <v>2125</v>
      </c>
      <c r="AA13" s="56">
        <v>2136</v>
      </c>
      <c r="AB13" s="56">
        <v>2099</v>
      </c>
      <c r="AC13" s="56">
        <v>1952</v>
      </c>
      <c r="AD13" s="56">
        <v>1783</v>
      </c>
      <c r="AE13" s="56">
        <v>1677</v>
      </c>
      <c r="AF13" s="56">
        <v>1813</v>
      </c>
      <c r="AG13" s="56">
        <v>1823</v>
      </c>
      <c r="AH13" s="56">
        <v>1754</v>
      </c>
      <c r="AI13" s="56">
        <v>1682</v>
      </c>
      <c r="AJ13" s="98">
        <v>1491</v>
      </c>
      <c r="AK13" s="56">
        <v>1402</v>
      </c>
      <c r="AL13" s="56">
        <v>1250</v>
      </c>
      <c r="AM13" s="56">
        <v>1294</v>
      </c>
      <c r="AN13" s="56">
        <v>1314</v>
      </c>
      <c r="AO13" s="56">
        <v>1332</v>
      </c>
      <c r="AP13" s="56">
        <v>1368</v>
      </c>
      <c r="AQ13" s="56">
        <v>1439</v>
      </c>
      <c r="AR13" s="56">
        <v>1594</v>
      </c>
      <c r="AS13" s="56">
        <v>1682</v>
      </c>
      <c r="AT13" s="41" t="s">
        <v>40</v>
      </c>
      <c r="AX13" s="94"/>
    </row>
    <row r="14" spans="1:50" x14ac:dyDescent="0.25">
      <c r="B14" s="35" t="s">
        <v>12</v>
      </c>
      <c r="C14" s="23">
        <f t="shared" ref="C14:F14" si="0">SUM(C3:C13)</f>
        <v>42839</v>
      </c>
      <c r="D14" s="23">
        <f t="shared" si="0"/>
        <v>42326</v>
      </c>
      <c r="E14" s="23">
        <f t="shared" si="0"/>
        <v>39088</v>
      </c>
      <c r="F14" s="23">
        <f t="shared" si="0"/>
        <v>32804</v>
      </c>
      <c r="G14" s="23">
        <f t="shared" ref="G14:AS14" si="1">SUM(G3:G13)</f>
        <v>29922</v>
      </c>
      <c r="H14" s="23">
        <f t="shared" si="1"/>
        <v>30577</v>
      </c>
      <c r="I14" s="23">
        <f t="shared" si="1"/>
        <v>31670</v>
      </c>
      <c r="J14" s="23">
        <f t="shared" si="1"/>
        <v>31003</v>
      </c>
      <c r="K14" s="23">
        <f t="shared" si="1"/>
        <v>27951</v>
      </c>
      <c r="L14" s="23">
        <f t="shared" si="1"/>
        <v>26436</v>
      </c>
      <c r="M14" s="23">
        <f t="shared" si="1"/>
        <v>33780</v>
      </c>
      <c r="N14" s="23">
        <f t="shared" si="1"/>
        <v>35771</v>
      </c>
      <c r="O14" s="23">
        <f t="shared" si="1"/>
        <v>35989</v>
      </c>
      <c r="P14" s="23">
        <f t="shared" si="1"/>
        <v>34204</v>
      </c>
      <c r="Q14" s="23">
        <f t="shared" si="1"/>
        <v>30616</v>
      </c>
      <c r="R14" s="23">
        <f t="shared" si="1"/>
        <v>24903</v>
      </c>
      <c r="S14" s="23">
        <f t="shared" si="1"/>
        <v>22839</v>
      </c>
      <c r="T14" s="23">
        <f t="shared" si="1"/>
        <v>23808</v>
      </c>
      <c r="U14" s="23">
        <f t="shared" si="1"/>
        <v>24803</v>
      </c>
      <c r="V14" s="23">
        <f t="shared" si="1"/>
        <v>23866</v>
      </c>
      <c r="W14" s="23">
        <f t="shared" si="1"/>
        <v>21399</v>
      </c>
      <c r="X14" s="23">
        <f t="shared" si="1"/>
        <v>20447</v>
      </c>
      <c r="Y14" s="23">
        <f t="shared" si="1"/>
        <v>28514</v>
      </c>
      <c r="Z14" s="23">
        <f t="shared" si="1"/>
        <v>29800</v>
      </c>
      <c r="AA14" s="23">
        <f t="shared" si="1"/>
        <v>30951</v>
      </c>
      <c r="AB14" s="23">
        <f t="shared" si="1"/>
        <v>29751</v>
      </c>
      <c r="AC14" s="23">
        <f t="shared" si="1"/>
        <v>26508</v>
      </c>
      <c r="AD14" s="23">
        <f t="shared" si="1"/>
        <v>20315</v>
      </c>
      <c r="AE14" s="23">
        <f t="shared" si="1"/>
        <v>17607</v>
      </c>
      <c r="AF14" s="23">
        <f t="shared" si="1"/>
        <v>18960</v>
      </c>
      <c r="AG14" s="23">
        <f t="shared" si="1"/>
        <v>20582</v>
      </c>
      <c r="AH14" s="23">
        <f t="shared" si="1"/>
        <v>19883</v>
      </c>
      <c r="AI14" s="23">
        <f t="shared" si="1"/>
        <v>16968</v>
      </c>
      <c r="AJ14" s="23">
        <f t="shared" si="1"/>
        <v>16544</v>
      </c>
      <c r="AK14" s="23">
        <f t="shared" si="1"/>
        <v>24495</v>
      </c>
      <c r="AL14" s="23">
        <f t="shared" si="1"/>
        <v>25285</v>
      </c>
      <c r="AM14" s="23">
        <f t="shared" si="1"/>
        <v>26214</v>
      </c>
      <c r="AN14" s="23">
        <f t="shared" si="1"/>
        <v>25620</v>
      </c>
      <c r="AO14" s="23">
        <f t="shared" si="1"/>
        <v>26353</v>
      </c>
      <c r="AP14" s="23">
        <f t="shared" si="1"/>
        <v>28591</v>
      </c>
      <c r="AQ14" s="23">
        <f t="shared" si="1"/>
        <v>29604</v>
      </c>
      <c r="AR14" s="23">
        <f t="shared" si="1"/>
        <v>31158</v>
      </c>
      <c r="AS14" s="23">
        <f t="shared" si="1"/>
        <v>32313</v>
      </c>
      <c r="AT14" s="35" t="s">
        <v>12</v>
      </c>
      <c r="AX14" s="94"/>
    </row>
    <row r="16" spans="1:50" x14ac:dyDescent="0.25">
      <c r="C16" s="51" t="s">
        <v>116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43"/>
  <sheetViews>
    <sheetView topLeftCell="V1" zoomScale="90" zoomScaleNormal="90" workbookViewId="0">
      <selection activeCell="AT5" sqref="AT5"/>
    </sheetView>
  </sheetViews>
  <sheetFormatPr defaultRowHeight="15" x14ac:dyDescent="0.25"/>
  <cols>
    <col min="1" max="1" width="14" customWidth="1"/>
    <col min="2" max="10" width="9.140625" style="65"/>
    <col min="11" max="11" width="11.7109375" style="65" customWidth="1"/>
    <col min="12" max="39" width="9.140625" style="65"/>
    <col min="40" max="41" width="8.85546875" style="65"/>
    <col min="42" max="44" width="9.140625" style="65"/>
    <col min="45" max="45" width="10.5703125" style="65" customWidth="1"/>
  </cols>
  <sheetData>
    <row r="1" spans="1:47" x14ac:dyDescent="0.25">
      <c r="A1" s="1"/>
      <c r="B1" s="8">
        <v>2017</v>
      </c>
      <c r="C1" s="8"/>
      <c r="D1" s="82"/>
      <c r="E1" s="8"/>
      <c r="F1" s="82"/>
      <c r="G1" s="8"/>
      <c r="H1" s="8"/>
      <c r="I1" s="8"/>
      <c r="J1" s="8"/>
      <c r="K1" s="8"/>
      <c r="L1" s="8"/>
      <c r="M1" s="8"/>
      <c r="N1" s="8">
        <v>2018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>
        <v>2019</v>
      </c>
      <c r="AA1" s="8"/>
      <c r="AB1" s="8"/>
      <c r="AC1" s="8"/>
      <c r="AD1" s="8"/>
      <c r="AE1" s="8"/>
      <c r="AF1" s="8">
        <v>2019</v>
      </c>
      <c r="AG1" s="8"/>
      <c r="AH1" s="8"/>
      <c r="AI1" s="8"/>
      <c r="AJ1" s="8"/>
      <c r="AK1" s="8"/>
      <c r="AL1" s="8">
        <v>2020</v>
      </c>
      <c r="AM1" s="8"/>
      <c r="AN1" s="8"/>
      <c r="AO1" s="8"/>
      <c r="AP1" s="8"/>
      <c r="AQ1" s="8"/>
      <c r="AR1" s="8"/>
    </row>
    <row r="2" spans="1:47" x14ac:dyDescent="0.25">
      <c r="A2" s="3"/>
      <c r="B2" s="88" t="s">
        <v>0</v>
      </c>
      <c r="C2" s="54" t="s">
        <v>1</v>
      </c>
      <c r="D2" s="12" t="s">
        <v>2</v>
      </c>
      <c r="E2" s="12" t="s">
        <v>3</v>
      </c>
      <c r="F2" s="13" t="s">
        <v>4</v>
      </c>
      <c r="G2" s="88" t="s">
        <v>5</v>
      </c>
      <c r="H2" s="12" t="s">
        <v>6</v>
      </c>
      <c r="I2" s="13" t="s">
        <v>7</v>
      </c>
      <c r="J2" s="89" t="s">
        <v>8</v>
      </c>
      <c r="K2" s="13" t="s">
        <v>9</v>
      </c>
      <c r="L2" s="89" t="s">
        <v>10</v>
      </c>
      <c r="M2" s="12" t="s">
        <v>11</v>
      </c>
      <c r="N2" s="88" t="s">
        <v>0</v>
      </c>
      <c r="O2" s="88" t="s">
        <v>1</v>
      </c>
      <c r="P2" s="12" t="s">
        <v>2</v>
      </c>
      <c r="Q2" s="12" t="s">
        <v>3</v>
      </c>
      <c r="R2" s="13" t="s">
        <v>4</v>
      </c>
      <c r="S2" s="88" t="s">
        <v>5</v>
      </c>
      <c r="T2" s="12" t="s">
        <v>6</v>
      </c>
      <c r="U2" s="13" t="s">
        <v>7</v>
      </c>
      <c r="V2" s="89" t="s">
        <v>8</v>
      </c>
      <c r="W2" s="13" t="s">
        <v>9</v>
      </c>
      <c r="X2" s="89" t="s">
        <v>10</v>
      </c>
      <c r="Y2" s="12" t="s">
        <v>11</v>
      </c>
      <c r="Z2" s="88" t="s">
        <v>0</v>
      </c>
      <c r="AA2" s="88" t="s">
        <v>1</v>
      </c>
      <c r="AB2" s="12" t="s">
        <v>2</v>
      </c>
      <c r="AC2" s="88" t="s">
        <v>3</v>
      </c>
      <c r="AD2" s="13" t="s">
        <v>4</v>
      </c>
      <c r="AE2" s="88" t="s">
        <v>5</v>
      </c>
      <c r="AF2" s="12" t="s">
        <v>6</v>
      </c>
      <c r="AG2" s="13" t="s">
        <v>7</v>
      </c>
      <c r="AH2" s="89" t="s">
        <v>8</v>
      </c>
      <c r="AI2" s="13" t="s">
        <v>9</v>
      </c>
      <c r="AJ2" s="89" t="s">
        <v>10</v>
      </c>
      <c r="AK2" s="12" t="s">
        <v>11</v>
      </c>
      <c r="AL2" s="88" t="s">
        <v>0</v>
      </c>
      <c r="AM2" s="88" t="s">
        <v>1</v>
      </c>
      <c r="AN2" s="12" t="s">
        <v>2</v>
      </c>
      <c r="AO2" s="88" t="s">
        <v>3</v>
      </c>
      <c r="AP2" s="13" t="s">
        <v>4</v>
      </c>
      <c r="AQ2" s="88" t="s">
        <v>5</v>
      </c>
      <c r="AR2" s="12" t="s">
        <v>6</v>
      </c>
      <c r="AS2" s="88" t="s">
        <v>108</v>
      </c>
      <c r="AT2" s="80" t="s">
        <v>109</v>
      </c>
    </row>
    <row r="3" spans="1:47" x14ac:dyDescent="0.25">
      <c r="A3" s="14" t="s">
        <v>51</v>
      </c>
      <c r="B3" s="9">
        <f>223+2957</f>
        <v>3180</v>
      </c>
      <c r="C3" s="9">
        <f>218+2917</f>
        <v>3135</v>
      </c>
      <c r="D3" s="9">
        <f>203+2609</f>
        <v>2812</v>
      </c>
      <c r="E3" s="9">
        <f>136+2050</f>
        <v>2186</v>
      </c>
      <c r="F3" s="9">
        <f>130+1817</f>
        <v>1947</v>
      </c>
      <c r="G3" s="9">
        <f>112+1734</f>
        <v>1846</v>
      </c>
      <c r="H3" s="9">
        <f>106+1784</f>
        <v>1890</v>
      </c>
      <c r="I3" s="9">
        <v>1903</v>
      </c>
      <c r="J3" s="9">
        <f>150+1756</f>
        <v>1906</v>
      </c>
      <c r="K3" s="9">
        <f>158+1709</f>
        <v>1867</v>
      </c>
      <c r="L3" s="9">
        <f>198+2339</f>
        <v>2537</v>
      </c>
      <c r="M3" s="9">
        <f>175+2351</f>
        <v>2526</v>
      </c>
      <c r="N3" s="9">
        <f>199+2342</f>
        <v>2541</v>
      </c>
      <c r="O3" s="9">
        <f>178+2271</f>
        <v>2449</v>
      </c>
      <c r="P3" s="9">
        <f>156+1893</f>
        <v>2049</v>
      </c>
      <c r="Q3" s="9">
        <f>135+1399</f>
        <v>1534</v>
      </c>
      <c r="R3" s="9">
        <f>110+1227</f>
        <v>1337</v>
      </c>
      <c r="S3" s="9">
        <v>1275</v>
      </c>
      <c r="T3" s="9">
        <v>1300</v>
      </c>
      <c r="U3" s="9">
        <v>1226</v>
      </c>
      <c r="V3" s="9">
        <f>117+1140</f>
        <v>1257</v>
      </c>
      <c r="W3" s="9">
        <f>116+1087</f>
        <v>1203</v>
      </c>
      <c r="X3" s="9">
        <f>178+1733</f>
        <v>1911</v>
      </c>
      <c r="Y3" s="9">
        <f>145+1713</f>
        <v>1858</v>
      </c>
      <c r="Z3" s="9">
        <f>174+1828</f>
        <v>2002</v>
      </c>
      <c r="AA3" s="9">
        <f>155+1753</f>
        <v>1908</v>
      </c>
      <c r="AB3" s="9">
        <f>124+1459</f>
        <v>1583</v>
      </c>
      <c r="AC3" s="9">
        <f>980+85</f>
        <v>1065</v>
      </c>
      <c r="AD3" s="9">
        <f>58+797</f>
        <v>855</v>
      </c>
      <c r="AE3" s="9">
        <f>62+803</f>
        <v>865</v>
      </c>
      <c r="AF3" s="9">
        <f>71+866</f>
        <v>937</v>
      </c>
      <c r="AG3" s="9">
        <f>51+899</f>
        <v>950</v>
      </c>
      <c r="AH3" s="9">
        <f>85+875</f>
        <v>960</v>
      </c>
      <c r="AI3" s="9">
        <f>73+846</f>
        <v>919</v>
      </c>
      <c r="AJ3" s="9">
        <f>156+1381</f>
        <v>1537</v>
      </c>
      <c r="AK3" s="9">
        <f>146+1357</f>
        <v>1503</v>
      </c>
      <c r="AL3" s="9">
        <f>1411+142</f>
        <v>1553</v>
      </c>
      <c r="AM3" s="9">
        <f>147+1362</f>
        <v>1509</v>
      </c>
      <c r="AN3" s="9">
        <f>144+1411</f>
        <v>1555</v>
      </c>
      <c r="AO3" s="9">
        <f>140+1589</f>
        <v>1729</v>
      </c>
      <c r="AP3" s="9">
        <f>136+1684</f>
        <v>1820</v>
      </c>
      <c r="AQ3" s="9">
        <f>121+1752</f>
        <v>1873</v>
      </c>
      <c r="AR3" s="9">
        <f>118+1807</f>
        <v>1925</v>
      </c>
      <c r="AS3" s="2">
        <f>AR3-AF3</f>
        <v>988</v>
      </c>
      <c r="AT3" s="2">
        <f>AR3-AQ3</f>
        <v>52</v>
      </c>
      <c r="AU3" s="14" t="s">
        <v>51</v>
      </c>
    </row>
    <row r="4" spans="1:47" x14ac:dyDescent="0.25">
      <c r="A4" s="14" t="s">
        <v>46</v>
      </c>
      <c r="B4" s="63">
        <v>5813</v>
      </c>
      <c r="C4" s="63">
        <v>5741</v>
      </c>
      <c r="D4" s="63">
        <v>5319</v>
      </c>
      <c r="E4" s="63">
        <v>4525</v>
      </c>
      <c r="F4" s="63">
        <v>4118</v>
      </c>
      <c r="G4" s="63">
        <v>4183</v>
      </c>
      <c r="H4" s="63">
        <v>4304</v>
      </c>
      <c r="I4" s="63">
        <v>4337</v>
      </c>
      <c r="J4" s="63">
        <v>3957</v>
      </c>
      <c r="K4" s="63">
        <v>3572</v>
      </c>
      <c r="L4" s="63">
        <v>4584</v>
      </c>
      <c r="M4" s="63">
        <v>4664</v>
      </c>
      <c r="N4" s="63">
        <v>4791</v>
      </c>
      <c r="O4" s="63">
        <v>4517</v>
      </c>
      <c r="P4" s="63">
        <v>3989</v>
      </c>
      <c r="Q4" s="63">
        <v>3144</v>
      </c>
      <c r="R4" s="63">
        <v>2820</v>
      </c>
      <c r="S4" s="63">
        <v>3054</v>
      </c>
      <c r="T4" s="63">
        <v>3230</v>
      </c>
      <c r="U4" s="63">
        <v>3135</v>
      </c>
      <c r="V4" s="63">
        <v>2785</v>
      </c>
      <c r="W4" s="63">
        <v>2702</v>
      </c>
      <c r="X4" s="63">
        <v>3691</v>
      </c>
      <c r="Y4" s="63">
        <v>3711</v>
      </c>
      <c r="Z4" s="63">
        <v>3885</v>
      </c>
      <c r="AA4" s="63">
        <v>3792</v>
      </c>
      <c r="AB4" s="63">
        <v>3382</v>
      </c>
      <c r="AC4" s="63">
        <v>2512</v>
      </c>
      <c r="AD4" s="63">
        <v>2089</v>
      </c>
      <c r="AE4" s="63">
        <v>2260</v>
      </c>
      <c r="AF4" s="63">
        <v>2588</v>
      </c>
      <c r="AG4" s="63">
        <v>2528</v>
      </c>
      <c r="AH4" s="63">
        <v>2109</v>
      </c>
      <c r="AI4" s="63">
        <v>2022</v>
      </c>
      <c r="AJ4" s="63">
        <v>2970</v>
      </c>
      <c r="AK4" s="63">
        <v>3082</v>
      </c>
      <c r="AL4" s="63">
        <v>3257</v>
      </c>
      <c r="AM4" s="63">
        <v>3191</v>
      </c>
      <c r="AN4" s="63">
        <v>3375</v>
      </c>
      <c r="AO4" s="63">
        <v>3820</v>
      </c>
      <c r="AP4" s="63">
        <v>4016</v>
      </c>
      <c r="AQ4" s="63">
        <v>4195</v>
      </c>
      <c r="AR4" s="63">
        <v>4395</v>
      </c>
      <c r="AS4" s="2">
        <f t="shared" ref="AS4:AS10" si="0">AR4-AF4</f>
        <v>1807</v>
      </c>
      <c r="AT4" s="2">
        <f t="shared" ref="AT4:AT10" si="1">AR4-AQ4</f>
        <v>200</v>
      </c>
      <c r="AU4" s="14" t="s">
        <v>46</v>
      </c>
    </row>
    <row r="5" spans="1:47" x14ac:dyDescent="0.25">
      <c r="A5" s="15" t="s">
        <v>47</v>
      </c>
      <c r="B5" s="63">
        <v>11574</v>
      </c>
      <c r="C5" s="63">
        <v>11496</v>
      </c>
      <c r="D5" s="63">
        <v>10672</v>
      </c>
      <c r="E5" s="63">
        <v>8935</v>
      </c>
      <c r="F5" s="63">
        <v>8255</v>
      </c>
      <c r="G5" s="63">
        <v>8904</v>
      </c>
      <c r="H5" s="63">
        <v>9483</v>
      </c>
      <c r="I5" s="63">
        <v>9269</v>
      </c>
      <c r="J5" s="63">
        <v>7948</v>
      </c>
      <c r="K5" s="63">
        <v>7354</v>
      </c>
      <c r="L5" s="63">
        <v>9203</v>
      </c>
      <c r="M5" s="63">
        <v>9737</v>
      </c>
      <c r="N5" s="63">
        <v>9790</v>
      </c>
      <c r="O5" s="63">
        <v>9125</v>
      </c>
      <c r="P5" s="63">
        <v>8177</v>
      </c>
      <c r="Q5" s="63">
        <v>6761</v>
      </c>
      <c r="R5" s="63">
        <v>6284</v>
      </c>
      <c r="S5" s="63">
        <v>6940</v>
      </c>
      <c r="T5" s="63">
        <v>7323</v>
      </c>
      <c r="U5" s="63">
        <v>7137</v>
      </c>
      <c r="V5" s="63">
        <v>6045</v>
      </c>
      <c r="W5" s="63">
        <v>5530</v>
      </c>
      <c r="X5" s="63">
        <v>7515</v>
      </c>
      <c r="Y5" s="63">
        <v>7897</v>
      </c>
      <c r="Z5" s="63">
        <v>8112</v>
      </c>
      <c r="AA5" s="63">
        <v>7715</v>
      </c>
      <c r="AB5" s="63">
        <v>6867</v>
      </c>
      <c r="AC5" s="63">
        <v>5317</v>
      </c>
      <c r="AD5" s="63">
        <v>4649</v>
      </c>
      <c r="AE5" s="63">
        <v>5554</v>
      </c>
      <c r="AF5" s="63">
        <v>6199</v>
      </c>
      <c r="AG5" s="63">
        <v>5962</v>
      </c>
      <c r="AH5" s="63">
        <v>4687</v>
      </c>
      <c r="AI5" s="63">
        <v>4478</v>
      </c>
      <c r="AJ5" s="63">
        <v>6427</v>
      </c>
      <c r="AK5" s="63">
        <v>6550</v>
      </c>
      <c r="AL5" s="63">
        <v>6759</v>
      </c>
      <c r="AM5" s="63">
        <v>6656</v>
      </c>
      <c r="AN5" s="63">
        <v>6990</v>
      </c>
      <c r="AO5" s="63">
        <v>7653</v>
      </c>
      <c r="AP5" s="63">
        <v>7970</v>
      </c>
      <c r="AQ5" s="63">
        <v>8705</v>
      </c>
      <c r="AR5" s="63">
        <v>9372</v>
      </c>
      <c r="AS5" s="2">
        <f t="shared" si="0"/>
        <v>3173</v>
      </c>
      <c r="AT5" s="2">
        <f t="shared" si="1"/>
        <v>667</v>
      </c>
      <c r="AU5" s="15" t="s">
        <v>47</v>
      </c>
    </row>
    <row r="6" spans="1:47" x14ac:dyDescent="0.25">
      <c r="A6" s="15" t="s">
        <v>48</v>
      </c>
      <c r="B6" s="63">
        <v>8707</v>
      </c>
      <c r="C6" s="63">
        <v>8653</v>
      </c>
      <c r="D6" s="63">
        <v>7970</v>
      </c>
      <c r="E6" s="63">
        <v>6493</v>
      </c>
      <c r="F6" s="63">
        <v>5787</v>
      </c>
      <c r="G6" s="63">
        <v>5957</v>
      </c>
      <c r="H6" s="63">
        <v>6131</v>
      </c>
      <c r="I6" s="63">
        <v>5928</v>
      </c>
      <c r="J6" s="63">
        <v>5327</v>
      </c>
      <c r="K6" s="63">
        <v>5088</v>
      </c>
      <c r="L6" s="63">
        <v>6893</v>
      </c>
      <c r="M6" s="63">
        <v>7458</v>
      </c>
      <c r="N6" s="63">
        <v>7518</v>
      </c>
      <c r="O6" s="63">
        <v>7248</v>
      </c>
      <c r="P6" s="63">
        <v>6371</v>
      </c>
      <c r="Q6" s="63">
        <v>4976</v>
      </c>
      <c r="R6" s="63">
        <v>4520</v>
      </c>
      <c r="S6" s="63">
        <v>4566</v>
      </c>
      <c r="T6" s="63">
        <v>4718</v>
      </c>
      <c r="U6" s="63">
        <v>4456</v>
      </c>
      <c r="V6" s="63">
        <v>4073</v>
      </c>
      <c r="W6" s="63">
        <v>3903</v>
      </c>
      <c r="X6" s="63">
        <v>5950</v>
      </c>
      <c r="Y6" s="63">
        <v>6366</v>
      </c>
      <c r="Z6" s="63">
        <v>6617</v>
      </c>
      <c r="AA6" s="63">
        <v>6361</v>
      </c>
      <c r="AB6" s="63">
        <v>5573</v>
      </c>
      <c r="AC6" s="63">
        <v>4088</v>
      </c>
      <c r="AD6" s="63">
        <v>3486</v>
      </c>
      <c r="AE6" s="63">
        <v>3710</v>
      </c>
      <c r="AF6" s="63">
        <v>4067</v>
      </c>
      <c r="AG6" s="63">
        <v>3895</v>
      </c>
      <c r="AH6" s="63">
        <v>3310</v>
      </c>
      <c r="AI6" s="63">
        <v>3293</v>
      </c>
      <c r="AJ6" s="63">
        <v>5355</v>
      </c>
      <c r="AK6" s="63">
        <v>5646</v>
      </c>
      <c r="AL6" s="63">
        <v>5874</v>
      </c>
      <c r="AM6" s="63">
        <v>5700</v>
      </c>
      <c r="AN6" s="63">
        <v>5790</v>
      </c>
      <c r="AO6" s="63">
        <v>6252</v>
      </c>
      <c r="AP6" s="63">
        <v>6420</v>
      </c>
      <c r="AQ6" s="63">
        <v>6676</v>
      </c>
      <c r="AR6" s="63">
        <v>6856</v>
      </c>
      <c r="AS6" s="2">
        <f t="shared" si="0"/>
        <v>2789</v>
      </c>
      <c r="AT6" s="2">
        <f t="shared" si="1"/>
        <v>180</v>
      </c>
      <c r="AU6" s="15" t="s">
        <v>48</v>
      </c>
    </row>
    <row r="7" spans="1:47" x14ac:dyDescent="0.25">
      <c r="A7" s="15" t="s">
        <v>52</v>
      </c>
      <c r="B7" s="9">
        <f>4613+4976</f>
        <v>9589</v>
      </c>
      <c r="C7" s="9">
        <f>4522+4852</f>
        <v>9374</v>
      </c>
      <c r="D7" s="9">
        <f>4512+4125</f>
        <v>8637</v>
      </c>
      <c r="E7" s="9">
        <f>3439+3868</f>
        <v>7307</v>
      </c>
      <c r="F7" s="9">
        <f>3112+3570</f>
        <v>6682</v>
      </c>
      <c r="G7" s="9">
        <f>3088+3545</f>
        <v>6633</v>
      </c>
      <c r="H7" s="9">
        <f>3219+3614</f>
        <v>6833</v>
      </c>
      <c r="I7" s="9">
        <v>6605</v>
      </c>
      <c r="J7" s="9">
        <f>2734+3259</f>
        <v>5993</v>
      </c>
      <c r="K7" s="9">
        <v>5825</v>
      </c>
      <c r="L7" s="9">
        <f>3491+3927</f>
        <v>7418</v>
      </c>
      <c r="M7" s="9">
        <f>3845+4181</f>
        <v>8026</v>
      </c>
      <c r="N7" s="9">
        <f>3860+4125</f>
        <v>7985</v>
      </c>
      <c r="O7" s="9">
        <f>3615+3999</f>
        <v>7614</v>
      </c>
      <c r="P7" s="9">
        <f>3262+3677</f>
        <v>6939</v>
      </c>
      <c r="Q7" s="9">
        <f>2697+3062</f>
        <v>5759</v>
      </c>
      <c r="R7" s="9">
        <f>2412+2847</f>
        <v>5259</v>
      </c>
      <c r="S7" s="9">
        <f>2461+2872</f>
        <v>5333</v>
      </c>
      <c r="T7" s="9">
        <v>5534</v>
      </c>
      <c r="U7" s="9">
        <f>2483+2834</f>
        <v>5317</v>
      </c>
      <c r="V7" s="9">
        <f>2154+2612</f>
        <v>4766</v>
      </c>
      <c r="W7" s="9">
        <f>2164+2544</f>
        <v>4708</v>
      </c>
      <c r="X7" s="9">
        <f>3095+3435</f>
        <v>6530</v>
      </c>
      <c r="Y7" s="9">
        <f>3292+3629</f>
        <v>6921</v>
      </c>
      <c r="Z7" s="9">
        <f>3453+3757</f>
        <v>7210</v>
      </c>
      <c r="AA7" s="9">
        <f>3281+3623</f>
        <v>6904</v>
      </c>
      <c r="AB7" s="9">
        <f>2921+3309</f>
        <v>6230</v>
      </c>
      <c r="AC7" s="9">
        <f>2231+2644</f>
        <v>4875</v>
      </c>
      <c r="AD7" s="9">
        <f>1942+2335</f>
        <v>4277</v>
      </c>
      <c r="AE7" s="9">
        <f>1987+2338</f>
        <v>4325</v>
      </c>
      <c r="AF7" s="9">
        <f>2080+2444</f>
        <v>4524</v>
      </c>
      <c r="AG7" s="9">
        <f>2007+2349</f>
        <v>4356</v>
      </c>
      <c r="AH7" s="9">
        <f>1725+2121</f>
        <v>3846</v>
      </c>
      <c r="AI7" s="9">
        <v>3811</v>
      </c>
      <c r="AJ7" s="9">
        <f>2661+2979</f>
        <v>5640</v>
      </c>
      <c r="AK7" s="9">
        <f>2790+3083</f>
        <v>5873</v>
      </c>
      <c r="AL7" s="9">
        <f>2929+3113</f>
        <v>6042</v>
      </c>
      <c r="AM7" s="9">
        <f>2860+2981</f>
        <v>5841</v>
      </c>
      <c r="AN7" s="9">
        <f>2888+2951</f>
        <v>5839</v>
      </c>
      <c r="AO7" s="9">
        <f>3079+3088</f>
        <v>6167</v>
      </c>
      <c r="AP7" s="9">
        <f>3141+3163</f>
        <v>6304</v>
      </c>
      <c r="AQ7" s="9">
        <f>3249+3276</f>
        <v>6525</v>
      </c>
      <c r="AR7" s="9">
        <f>3296+3255</f>
        <v>6551</v>
      </c>
      <c r="AS7" s="2">
        <f t="shared" si="0"/>
        <v>2027</v>
      </c>
      <c r="AT7" s="2">
        <f t="shared" si="1"/>
        <v>26</v>
      </c>
      <c r="AU7" s="15" t="s">
        <v>52</v>
      </c>
    </row>
    <row r="8" spans="1:47" x14ac:dyDescent="0.25">
      <c r="A8" s="15" t="s">
        <v>49</v>
      </c>
      <c r="B8" s="63">
        <v>3759</v>
      </c>
      <c r="C8" s="63">
        <v>3713</v>
      </c>
      <c r="D8" s="63">
        <v>3477</v>
      </c>
      <c r="E8" s="63">
        <v>3170</v>
      </c>
      <c r="F8" s="63">
        <v>2947</v>
      </c>
      <c r="G8" s="63">
        <v>2883</v>
      </c>
      <c r="H8" s="63">
        <v>2866</v>
      </c>
      <c r="I8" s="63">
        <v>2814</v>
      </c>
      <c r="J8" s="63">
        <v>2655</v>
      </c>
      <c r="K8" s="63">
        <v>2564</v>
      </c>
      <c r="L8" s="63">
        <v>2962</v>
      </c>
      <c r="M8" s="63">
        <v>3168</v>
      </c>
      <c r="N8" s="63">
        <v>3171</v>
      </c>
      <c r="O8" s="63">
        <v>3049</v>
      </c>
      <c r="P8" s="63">
        <v>2900</v>
      </c>
      <c r="Q8" s="63">
        <v>2554</v>
      </c>
      <c r="R8" s="63">
        <v>2445</v>
      </c>
      <c r="S8" s="63">
        <v>2466</v>
      </c>
      <c r="T8" s="63">
        <v>2518</v>
      </c>
      <c r="U8" s="63">
        <v>2425</v>
      </c>
      <c r="V8" s="63">
        <v>2299</v>
      </c>
      <c r="W8" s="63">
        <v>2236</v>
      </c>
      <c r="X8" s="63">
        <v>2720</v>
      </c>
      <c r="Y8" s="63">
        <v>2851</v>
      </c>
      <c r="Z8" s="63">
        <v>2934</v>
      </c>
      <c r="AA8" s="63">
        <v>2883</v>
      </c>
      <c r="AB8" s="63">
        <v>2696</v>
      </c>
      <c r="AC8" s="63">
        <v>2307</v>
      </c>
      <c r="AD8" s="63">
        <v>2115</v>
      </c>
      <c r="AE8" s="63">
        <v>2110</v>
      </c>
      <c r="AF8" s="63">
        <v>2132</v>
      </c>
      <c r="AG8" s="63">
        <v>2062</v>
      </c>
      <c r="AH8" s="63">
        <v>1924</v>
      </c>
      <c r="AI8" s="63">
        <v>1886</v>
      </c>
      <c r="AJ8" s="63">
        <v>2393</v>
      </c>
      <c r="AK8" s="63">
        <v>2456</v>
      </c>
      <c r="AL8" s="63">
        <v>2564</v>
      </c>
      <c r="AM8" s="63">
        <v>2544</v>
      </c>
      <c r="AN8" s="63">
        <v>2611</v>
      </c>
      <c r="AO8" s="63">
        <v>2755</v>
      </c>
      <c r="AP8" s="63">
        <v>2833</v>
      </c>
      <c r="AQ8" s="63">
        <v>2919</v>
      </c>
      <c r="AR8" s="63">
        <v>2946</v>
      </c>
      <c r="AS8" s="2">
        <f t="shared" si="0"/>
        <v>814</v>
      </c>
      <c r="AT8" s="2">
        <f t="shared" si="1"/>
        <v>27</v>
      </c>
      <c r="AU8" s="15" t="s">
        <v>49</v>
      </c>
    </row>
    <row r="9" spans="1:47" x14ac:dyDescent="0.25">
      <c r="A9" s="15" t="s">
        <v>50</v>
      </c>
      <c r="B9" s="63">
        <v>217</v>
      </c>
      <c r="C9" s="63">
        <v>214</v>
      </c>
      <c r="D9" s="63">
        <v>201</v>
      </c>
      <c r="E9" s="63">
        <v>188</v>
      </c>
      <c r="F9" s="63">
        <v>186</v>
      </c>
      <c r="G9" s="63">
        <v>171</v>
      </c>
      <c r="H9" s="63">
        <v>163</v>
      </c>
      <c r="I9" s="63">
        <v>147</v>
      </c>
      <c r="J9" s="63">
        <v>165</v>
      </c>
      <c r="K9" s="63">
        <v>166</v>
      </c>
      <c r="L9" s="63">
        <v>183</v>
      </c>
      <c r="M9" s="63">
        <v>192</v>
      </c>
      <c r="N9" s="63">
        <v>193</v>
      </c>
      <c r="O9" s="63">
        <v>202</v>
      </c>
      <c r="P9" s="63">
        <v>191</v>
      </c>
      <c r="Q9" s="63">
        <v>175</v>
      </c>
      <c r="R9" s="63">
        <v>174</v>
      </c>
      <c r="S9" s="63">
        <v>174</v>
      </c>
      <c r="T9" s="63">
        <v>180</v>
      </c>
      <c r="U9" s="63">
        <v>170</v>
      </c>
      <c r="V9" s="63">
        <v>174</v>
      </c>
      <c r="W9" s="63">
        <v>165</v>
      </c>
      <c r="X9" s="63">
        <v>197</v>
      </c>
      <c r="Y9" s="63">
        <v>196</v>
      </c>
      <c r="Z9" s="63">
        <v>191</v>
      </c>
      <c r="AA9" s="63">
        <v>188</v>
      </c>
      <c r="AB9" s="63">
        <v>177</v>
      </c>
      <c r="AC9" s="63">
        <v>151</v>
      </c>
      <c r="AD9" s="63">
        <v>136</v>
      </c>
      <c r="AE9" s="63">
        <v>136</v>
      </c>
      <c r="AF9" s="63">
        <v>135</v>
      </c>
      <c r="AG9" s="63">
        <v>130</v>
      </c>
      <c r="AH9" s="63">
        <v>132</v>
      </c>
      <c r="AI9" s="63">
        <v>135</v>
      </c>
      <c r="AJ9" s="63">
        <v>173</v>
      </c>
      <c r="AK9" s="63">
        <v>175</v>
      </c>
      <c r="AL9" s="63">
        <v>165</v>
      </c>
      <c r="AM9" s="63">
        <v>179</v>
      </c>
      <c r="AN9" s="63">
        <v>193</v>
      </c>
      <c r="AO9" s="63">
        <v>215</v>
      </c>
      <c r="AP9" s="63">
        <v>241</v>
      </c>
      <c r="AQ9" s="63">
        <v>265</v>
      </c>
      <c r="AR9" s="63">
        <v>268</v>
      </c>
      <c r="AS9" s="2">
        <f t="shared" si="0"/>
        <v>133</v>
      </c>
      <c r="AT9" s="2">
        <f t="shared" si="1"/>
        <v>3</v>
      </c>
      <c r="AU9" s="15" t="s">
        <v>50</v>
      </c>
    </row>
    <row r="10" spans="1:47" x14ac:dyDescent="0.25">
      <c r="A10" s="10" t="s">
        <v>12</v>
      </c>
      <c r="B10" s="9">
        <f t="shared" ref="B10:AN10" si="2">SUM(B3:B9)</f>
        <v>42839</v>
      </c>
      <c r="C10" s="9">
        <f t="shared" si="2"/>
        <v>42326</v>
      </c>
      <c r="D10" s="9">
        <f t="shared" si="2"/>
        <v>39088</v>
      </c>
      <c r="E10" s="9">
        <f t="shared" si="2"/>
        <v>32804</v>
      </c>
      <c r="F10" s="9">
        <f t="shared" si="2"/>
        <v>29922</v>
      </c>
      <c r="G10" s="9">
        <f t="shared" si="2"/>
        <v>30577</v>
      </c>
      <c r="H10" s="9">
        <f t="shared" si="2"/>
        <v>31670</v>
      </c>
      <c r="I10" s="9">
        <f t="shared" si="2"/>
        <v>31003</v>
      </c>
      <c r="J10" s="9">
        <f t="shared" si="2"/>
        <v>27951</v>
      </c>
      <c r="K10" s="9">
        <f t="shared" si="2"/>
        <v>26436</v>
      </c>
      <c r="L10" s="9">
        <f t="shared" si="2"/>
        <v>33780</v>
      </c>
      <c r="M10" s="9">
        <f t="shared" si="2"/>
        <v>35771</v>
      </c>
      <c r="N10" s="9">
        <f t="shared" si="2"/>
        <v>35989</v>
      </c>
      <c r="O10" s="9">
        <f t="shared" si="2"/>
        <v>34204</v>
      </c>
      <c r="P10" s="9">
        <f t="shared" si="2"/>
        <v>30616</v>
      </c>
      <c r="Q10" s="9">
        <f t="shared" si="2"/>
        <v>24903</v>
      </c>
      <c r="R10" s="9">
        <f t="shared" si="2"/>
        <v>22839</v>
      </c>
      <c r="S10" s="9">
        <f t="shared" si="2"/>
        <v>23808</v>
      </c>
      <c r="T10" s="9">
        <f t="shared" si="2"/>
        <v>24803</v>
      </c>
      <c r="U10" s="9">
        <f t="shared" si="2"/>
        <v>23866</v>
      </c>
      <c r="V10" s="9">
        <f t="shared" si="2"/>
        <v>21399</v>
      </c>
      <c r="W10" s="9">
        <f t="shared" si="2"/>
        <v>20447</v>
      </c>
      <c r="X10" s="9">
        <f t="shared" si="2"/>
        <v>28514</v>
      </c>
      <c r="Y10" s="9">
        <f t="shared" si="2"/>
        <v>29800</v>
      </c>
      <c r="Z10" s="9">
        <f t="shared" si="2"/>
        <v>30951</v>
      </c>
      <c r="AA10" s="9">
        <f t="shared" si="2"/>
        <v>29751</v>
      </c>
      <c r="AB10" s="9">
        <f t="shared" si="2"/>
        <v>26508</v>
      </c>
      <c r="AC10" s="9">
        <f t="shared" si="2"/>
        <v>20315</v>
      </c>
      <c r="AD10" s="9">
        <f t="shared" si="2"/>
        <v>17607</v>
      </c>
      <c r="AE10" s="9">
        <f t="shared" si="2"/>
        <v>18960</v>
      </c>
      <c r="AF10" s="9">
        <f t="shared" si="2"/>
        <v>20582</v>
      </c>
      <c r="AG10" s="9">
        <f t="shared" si="2"/>
        <v>19883</v>
      </c>
      <c r="AH10" s="9">
        <f t="shared" si="2"/>
        <v>16968</v>
      </c>
      <c r="AI10" s="9">
        <f t="shared" si="2"/>
        <v>16544</v>
      </c>
      <c r="AJ10" s="9">
        <f t="shared" si="2"/>
        <v>24495</v>
      </c>
      <c r="AK10" s="9">
        <f t="shared" si="2"/>
        <v>25285</v>
      </c>
      <c r="AL10" s="9">
        <f t="shared" si="2"/>
        <v>26214</v>
      </c>
      <c r="AM10" s="9">
        <f t="shared" si="2"/>
        <v>25620</v>
      </c>
      <c r="AN10" s="9">
        <f t="shared" si="2"/>
        <v>26353</v>
      </c>
      <c r="AO10" s="9">
        <f>SUM(AO3:AO9)</f>
        <v>28591</v>
      </c>
      <c r="AP10" s="9">
        <f>SUM(AP3:AP9)</f>
        <v>29604</v>
      </c>
      <c r="AQ10" s="9">
        <f>SUM(AQ3:AQ9)</f>
        <v>31158</v>
      </c>
      <c r="AR10" s="9">
        <f>SUM(AR3:AR9)</f>
        <v>32313</v>
      </c>
      <c r="AS10" s="2">
        <f t="shared" si="0"/>
        <v>11731</v>
      </c>
      <c r="AT10" s="2">
        <f t="shared" si="1"/>
        <v>1155</v>
      </c>
    </row>
    <row r="12" spans="1:47" x14ac:dyDescent="0.25">
      <c r="A12" s="17"/>
    </row>
    <row r="13" spans="1:47" ht="18" customHeight="1" x14ac:dyDescent="0.25">
      <c r="A13" s="18"/>
      <c r="C13" s="57" t="s">
        <v>106</v>
      </c>
    </row>
    <row r="14" spans="1:47" s="5" customFormat="1" x14ac:dyDescent="0.25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65"/>
      <c r="AT14" s="65"/>
    </row>
    <row r="15" spans="1:47" s="5" customFormat="1" x14ac:dyDescent="0.25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65"/>
      <c r="AT15" s="65"/>
    </row>
    <row r="16" spans="1:47" s="5" customFormat="1" x14ac:dyDescent="0.25">
      <c r="A16" s="2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65"/>
    </row>
    <row r="17" spans="1:46" s="5" customFormat="1" x14ac:dyDescent="0.25">
      <c r="A17" s="2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65"/>
      <c r="AT17" s="65"/>
    </row>
    <row r="18" spans="1:46" x14ac:dyDescent="0.25">
      <c r="A18" s="2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T18" s="65"/>
    </row>
    <row r="19" spans="1:46" x14ac:dyDescent="0.25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T19" s="65"/>
    </row>
    <row r="20" spans="1:46" x14ac:dyDescent="0.25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T20" s="65"/>
    </row>
    <row r="21" spans="1:46" x14ac:dyDescent="0.25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T21" s="65"/>
    </row>
    <row r="22" spans="1:46" x14ac:dyDescent="0.25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T22" s="65"/>
    </row>
    <row r="23" spans="1:46" x14ac:dyDescent="0.25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T23" s="65"/>
    </row>
    <row r="24" spans="1:46" x14ac:dyDescent="0.25">
      <c r="A24" s="1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T24" s="65"/>
    </row>
    <row r="25" spans="1:46" x14ac:dyDescent="0.25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T25" s="65"/>
    </row>
    <row r="26" spans="1:46" x14ac:dyDescent="0.25">
      <c r="A26" s="17"/>
      <c r="AT26" s="65"/>
    </row>
    <row r="27" spans="1:46" x14ac:dyDescent="0.25">
      <c r="A27" s="17"/>
      <c r="AT27" s="65"/>
    </row>
    <row r="28" spans="1:46" x14ac:dyDescent="0.25">
      <c r="A28" s="17"/>
      <c r="AT28" s="65"/>
    </row>
    <row r="29" spans="1:46" x14ac:dyDescent="0.25">
      <c r="A29" s="17"/>
      <c r="AT29" s="65"/>
    </row>
    <row r="30" spans="1:46" x14ac:dyDescent="0.25">
      <c r="A30" s="5"/>
      <c r="AT30" s="65"/>
    </row>
    <row r="31" spans="1:46" x14ac:dyDescent="0.25">
      <c r="A31" s="5"/>
      <c r="AT31" s="65"/>
    </row>
    <row r="32" spans="1:46" x14ac:dyDescent="0.25">
      <c r="A32" s="5"/>
      <c r="AT32" s="65"/>
    </row>
    <row r="33" spans="1:46" x14ac:dyDescent="0.25">
      <c r="A33" s="5"/>
      <c r="AT33" s="65"/>
    </row>
    <row r="34" spans="1:46" x14ac:dyDescent="0.25">
      <c r="A34" s="22"/>
      <c r="AT34" s="65"/>
    </row>
    <row r="35" spans="1:46" x14ac:dyDescent="0.25">
      <c r="A35" s="22"/>
    </row>
    <row r="36" spans="1:46" x14ac:dyDescent="0.25">
      <c r="A36" s="22"/>
    </row>
    <row r="37" spans="1:46" x14ac:dyDescent="0.25">
      <c r="A37" s="22"/>
    </row>
    <row r="38" spans="1:46" x14ac:dyDescent="0.25">
      <c r="A38" s="22"/>
    </row>
    <row r="39" spans="1:46" x14ac:dyDescent="0.25">
      <c r="A39" s="22"/>
    </row>
    <row r="40" spans="1:46" x14ac:dyDescent="0.25">
      <c r="A40" s="22"/>
    </row>
    <row r="41" spans="1:46" x14ac:dyDescent="0.25">
      <c r="A41" s="22"/>
    </row>
    <row r="42" spans="1:46" x14ac:dyDescent="0.25">
      <c r="A42" s="22"/>
    </row>
    <row r="43" spans="1:46" x14ac:dyDescent="0.25">
      <c r="A4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V37"/>
  <sheetViews>
    <sheetView tabSelected="1" topLeftCell="V1" zoomScale="80" zoomScaleNormal="80" workbookViewId="0">
      <selection activeCell="AG22" sqref="AG22"/>
    </sheetView>
  </sheetViews>
  <sheetFormatPr defaultColWidth="9.140625" defaultRowHeight="15.75" x14ac:dyDescent="0.25"/>
  <cols>
    <col min="1" max="1" width="14.28515625" style="23" customWidth="1"/>
    <col min="2" max="16384" width="9.140625" style="23"/>
  </cols>
  <sheetData>
    <row r="1" spans="1:48" x14ac:dyDescent="0.25">
      <c r="A1" s="27"/>
      <c r="B1" s="36">
        <v>2017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/>
      <c r="AD1" s="36"/>
      <c r="AE1" s="36"/>
      <c r="AF1" s="36">
        <v>2019</v>
      </c>
      <c r="AG1" s="36"/>
      <c r="AH1" s="36"/>
      <c r="AI1" s="36"/>
      <c r="AJ1" s="36"/>
      <c r="AK1" s="36"/>
      <c r="AL1" s="36">
        <v>2020</v>
      </c>
      <c r="AM1" s="36"/>
      <c r="AN1" s="36"/>
      <c r="AO1" s="36"/>
      <c r="AP1" s="36"/>
      <c r="AQ1" s="36"/>
      <c r="AR1" s="36"/>
    </row>
    <row r="2" spans="1:48" x14ac:dyDescent="0.25">
      <c r="A2" s="30"/>
      <c r="B2" s="36" t="s">
        <v>0</v>
      </c>
      <c r="C2" s="36" t="s">
        <v>1</v>
      </c>
      <c r="D2" s="27" t="s">
        <v>2</v>
      </c>
      <c r="E2" s="27" t="s">
        <v>3</v>
      </c>
      <c r="F2" s="31" t="s">
        <v>4</v>
      </c>
      <c r="G2" s="68" t="s">
        <v>5</v>
      </c>
      <c r="H2" s="31" t="s">
        <v>6</v>
      </c>
      <c r="I2" s="68" t="s">
        <v>7</v>
      </c>
      <c r="J2" s="68" t="s">
        <v>8</v>
      </c>
      <c r="K2" s="68" t="s">
        <v>9</v>
      </c>
      <c r="L2" s="68" t="s">
        <v>10</v>
      </c>
      <c r="M2" s="27" t="s">
        <v>11</v>
      </c>
      <c r="N2" s="36" t="s">
        <v>0</v>
      </c>
      <c r="O2" s="36" t="s">
        <v>1</v>
      </c>
      <c r="P2" s="27" t="s">
        <v>2</v>
      </c>
      <c r="Q2" s="27" t="s">
        <v>3</v>
      </c>
      <c r="R2" s="31" t="s">
        <v>4</v>
      </c>
      <c r="S2" s="68" t="s">
        <v>5</v>
      </c>
      <c r="T2" s="31" t="s">
        <v>6</v>
      </c>
      <c r="U2" s="68" t="s">
        <v>7</v>
      </c>
      <c r="V2" s="68" t="s">
        <v>8</v>
      </c>
      <c r="W2" s="68" t="s">
        <v>9</v>
      </c>
      <c r="X2" s="68" t="s">
        <v>10</v>
      </c>
      <c r="Y2" s="27" t="s">
        <v>11</v>
      </c>
      <c r="Z2" s="36" t="s">
        <v>0</v>
      </c>
      <c r="AA2" s="36" t="s">
        <v>1</v>
      </c>
      <c r="AB2" s="27" t="s">
        <v>2</v>
      </c>
      <c r="AC2" s="36" t="s">
        <v>3</v>
      </c>
      <c r="AD2" s="31" t="s">
        <v>4</v>
      </c>
      <c r="AE2" s="68" t="s">
        <v>5</v>
      </c>
      <c r="AF2" s="31" t="s">
        <v>6</v>
      </c>
      <c r="AG2" s="68" t="s">
        <v>7</v>
      </c>
      <c r="AH2" s="68" t="s">
        <v>8</v>
      </c>
      <c r="AI2" s="68" t="s">
        <v>9</v>
      </c>
      <c r="AJ2" s="68" t="s">
        <v>10</v>
      </c>
      <c r="AK2" s="27" t="s">
        <v>11</v>
      </c>
      <c r="AL2" s="36" t="s">
        <v>0</v>
      </c>
      <c r="AM2" s="36" t="s">
        <v>1</v>
      </c>
      <c r="AN2" s="27" t="s">
        <v>2</v>
      </c>
      <c r="AO2" s="36" t="s">
        <v>3</v>
      </c>
      <c r="AP2" s="31" t="s">
        <v>4</v>
      </c>
      <c r="AQ2" s="68" t="s">
        <v>5</v>
      </c>
      <c r="AR2" s="31" t="s">
        <v>6</v>
      </c>
      <c r="AS2" s="23" t="s">
        <v>109</v>
      </c>
      <c r="AT2" s="23" t="s">
        <v>120</v>
      </c>
      <c r="AU2" s="23" t="s">
        <v>108</v>
      </c>
    </row>
    <row r="3" spans="1:48" x14ac:dyDescent="0.25">
      <c r="A3" s="40" t="s">
        <v>41</v>
      </c>
      <c r="B3" s="36">
        <v>2369</v>
      </c>
      <c r="C3" s="36">
        <v>1749</v>
      </c>
      <c r="D3" s="36">
        <v>1771</v>
      </c>
      <c r="E3" s="36">
        <v>1572</v>
      </c>
      <c r="F3" s="36">
        <v>2077</v>
      </c>
      <c r="G3" s="36">
        <v>2941</v>
      </c>
      <c r="H3" s="36">
        <v>2033</v>
      </c>
      <c r="I3" s="36">
        <v>1882</v>
      </c>
      <c r="J3" s="36">
        <v>1719</v>
      </c>
      <c r="K3" s="36">
        <v>1996</v>
      </c>
      <c r="L3" s="36">
        <v>5049</v>
      </c>
      <c r="M3" s="36">
        <v>1712</v>
      </c>
      <c r="N3" s="36">
        <v>2003</v>
      </c>
      <c r="O3" s="36">
        <v>1505</v>
      </c>
      <c r="P3" s="36">
        <v>1329</v>
      </c>
      <c r="Q3" s="36">
        <v>2304</v>
      </c>
      <c r="R3" s="36">
        <v>1511</v>
      </c>
      <c r="S3" s="9">
        <v>2527</v>
      </c>
      <c r="T3" s="9">
        <v>1757</v>
      </c>
      <c r="U3" s="9">
        <v>1381</v>
      </c>
      <c r="V3" s="9">
        <v>1645</v>
      </c>
      <c r="W3" s="9">
        <v>1830</v>
      </c>
      <c r="X3" s="9">
        <v>4556</v>
      </c>
      <c r="Y3" s="9">
        <v>1923</v>
      </c>
      <c r="Z3" s="9">
        <v>1918</v>
      </c>
      <c r="AA3" s="9">
        <v>1434</v>
      </c>
      <c r="AB3" s="9">
        <v>1101</v>
      </c>
      <c r="AC3" s="9">
        <v>1000</v>
      </c>
      <c r="AD3" s="9">
        <v>1578</v>
      </c>
      <c r="AE3" s="9">
        <v>2299</v>
      </c>
      <c r="AF3" s="9">
        <v>1469</v>
      </c>
      <c r="AG3" s="9">
        <v>1176</v>
      </c>
      <c r="AH3" s="9">
        <v>1514</v>
      </c>
      <c r="AI3" s="9">
        <v>1597</v>
      </c>
      <c r="AJ3" s="9">
        <v>3329</v>
      </c>
      <c r="AK3" s="9">
        <v>1263</v>
      </c>
      <c r="AL3" s="9">
        <v>1577</v>
      </c>
      <c r="AM3" s="9">
        <v>1167</v>
      </c>
      <c r="AN3" s="9">
        <v>1218</v>
      </c>
      <c r="AO3" s="9">
        <v>807</v>
      </c>
      <c r="AP3" s="9">
        <v>888</v>
      </c>
      <c r="AQ3" s="9">
        <v>2395</v>
      </c>
      <c r="AR3" s="9">
        <v>1255</v>
      </c>
      <c r="AS3" s="26">
        <f>AR3-AQ3</f>
        <v>-1140</v>
      </c>
      <c r="AT3" s="94">
        <f>AS3/AQ3</f>
        <v>-0.47599164926931109</v>
      </c>
      <c r="AU3" s="26">
        <f>AR3-AF3</f>
        <v>-214</v>
      </c>
      <c r="AV3" s="40" t="s">
        <v>41</v>
      </c>
    </row>
    <row r="4" spans="1:48" x14ac:dyDescent="0.25">
      <c r="A4" s="41" t="s">
        <v>42</v>
      </c>
      <c r="B4" s="36">
        <v>16024</v>
      </c>
      <c r="C4" s="36">
        <v>11198</v>
      </c>
      <c r="D4" s="36">
        <v>8365</v>
      </c>
      <c r="E4" s="36">
        <v>6508</v>
      </c>
      <c r="F4" s="36">
        <v>6118</v>
      </c>
      <c r="G4" s="36">
        <v>7337</v>
      </c>
      <c r="H4" s="36">
        <v>10175</v>
      </c>
      <c r="I4" s="36">
        <v>9591</v>
      </c>
      <c r="J4" s="36">
        <v>7409</v>
      </c>
      <c r="K4" s="36">
        <v>6614</v>
      </c>
      <c r="L4" s="36">
        <v>11400</v>
      </c>
      <c r="M4" s="36">
        <v>16742</v>
      </c>
      <c r="N4" s="36">
        <v>15321</v>
      </c>
      <c r="O4" s="36">
        <v>9113</v>
      </c>
      <c r="P4" s="36">
        <v>7015</v>
      </c>
      <c r="Q4" s="36">
        <v>4938</v>
      </c>
      <c r="R4" s="36">
        <v>5879</v>
      </c>
      <c r="S4" s="63">
        <v>6997</v>
      </c>
      <c r="T4" s="63">
        <v>9233</v>
      </c>
      <c r="U4" s="63">
        <v>8678</v>
      </c>
      <c r="V4" s="63">
        <v>5942</v>
      </c>
      <c r="W4" s="63">
        <v>5923</v>
      </c>
      <c r="X4" s="63">
        <v>11954</v>
      </c>
      <c r="Y4" s="63">
        <v>15716</v>
      </c>
      <c r="Z4" s="63">
        <v>14805</v>
      </c>
      <c r="AA4" s="63">
        <v>8388</v>
      </c>
      <c r="AB4" s="63">
        <v>6499</v>
      </c>
      <c r="AC4" s="63">
        <v>4790</v>
      </c>
      <c r="AD4" s="63">
        <v>4237</v>
      </c>
      <c r="AE4" s="63">
        <v>5827</v>
      </c>
      <c r="AF4" s="63">
        <v>8936</v>
      </c>
      <c r="AG4" s="63">
        <v>8525</v>
      </c>
      <c r="AH4" s="63">
        <v>5049</v>
      </c>
      <c r="AI4" s="63">
        <v>5089</v>
      </c>
      <c r="AJ4" s="63">
        <v>11847</v>
      </c>
      <c r="AK4" s="63">
        <v>14549</v>
      </c>
      <c r="AL4" s="63">
        <v>13598</v>
      </c>
      <c r="AM4" s="63">
        <v>7484</v>
      </c>
      <c r="AN4" s="63">
        <v>6541</v>
      </c>
      <c r="AO4" s="63">
        <v>6850</v>
      </c>
      <c r="AP4" s="63">
        <v>6121</v>
      </c>
      <c r="AQ4" s="63">
        <v>5650</v>
      </c>
      <c r="AR4" s="63">
        <v>8519</v>
      </c>
      <c r="AS4" s="26">
        <f t="shared" ref="AS4:AS10" si="0">AR4-AQ4</f>
        <v>2869</v>
      </c>
      <c r="AT4" s="94">
        <f t="shared" ref="AT4:AT10" si="1">AS4/AQ4</f>
        <v>0.50778761061946898</v>
      </c>
      <c r="AU4" s="26">
        <f t="shared" ref="AU4:AU10" si="2">AR4-AF4</f>
        <v>-417</v>
      </c>
      <c r="AV4" s="41" t="s">
        <v>42</v>
      </c>
    </row>
    <row r="5" spans="1:48" s="104" customFormat="1" x14ac:dyDescent="0.25">
      <c r="A5" s="101" t="s">
        <v>121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03"/>
      <c r="U5" s="103"/>
      <c r="V5" s="103"/>
      <c r="W5" s="103"/>
      <c r="X5" s="103"/>
      <c r="Y5" s="103"/>
      <c r="Z5" s="103">
        <f>SUM(Z3:Z4)</f>
        <v>16723</v>
      </c>
      <c r="AA5" s="103">
        <f t="shared" ref="AA5:AR5" si="3">SUM(AA3:AA4)</f>
        <v>9822</v>
      </c>
      <c r="AB5" s="103">
        <f t="shared" si="3"/>
        <v>7600</v>
      </c>
      <c r="AC5" s="103">
        <f t="shared" si="3"/>
        <v>5790</v>
      </c>
      <c r="AD5" s="103">
        <f t="shared" si="3"/>
        <v>5815</v>
      </c>
      <c r="AE5" s="103">
        <f t="shared" si="3"/>
        <v>8126</v>
      </c>
      <c r="AF5" s="103">
        <f t="shared" si="3"/>
        <v>10405</v>
      </c>
      <c r="AG5" s="103">
        <f t="shared" si="3"/>
        <v>9701</v>
      </c>
      <c r="AH5" s="103">
        <f t="shared" si="3"/>
        <v>6563</v>
      </c>
      <c r="AI5" s="103">
        <f t="shared" si="3"/>
        <v>6686</v>
      </c>
      <c r="AJ5" s="103">
        <f t="shared" si="3"/>
        <v>15176</v>
      </c>
      <c r="AK5" s="103">
        <f t="shared" si="3"/>
        <v>15812</v>
      </c>
      <c r="AL5" s="103">
        <f t="shared" si="3"/>
        <v>15175</v>
      </c>
      <c r="AM5" s="103">
        <f t="shared" si="3"/>
        <v>8651</v>
      </c>
      <c r="AN5" s="103">
        <f t="shared" si="3"/>
        <v>7759</v>
      </c>
      <c r="AO5" s="103">
        <f t="shared" si="3"/>
        <v>7657</v>
      </c>
      <c r="AP5" s="103">
        <f t="shared" si="3"/>
        <v>7009</v>
      </c>
      <c r="AQ5" s="103">
        <f t="shared" si="3"/>
        <v>8045</v>
      </c>
      <c r="AR5" s="103">
        <f t="shared" si="3"/>
        <v>9774</v>
      </c>
      <c r="AS5" s="26">
        <f t="shared" si="0"/>
        <v>1729</v>
      </c>
      <c r="AT5" s="94">
        <f t="shared" si="1"/>
        <v>0.21491609695463021</v>
      </c>
      <c r="AU5" s="26">
        <f t="shared" si="2"/>
        <v>-631</v>
      </c>
      <c r="AV5" s="101" t="s">
        <v>121</v>
      </c>
    </row>
    <row r="6" spans="1:48" x14ac:dyDescent="0.25">
      <c r="A6" s="41" t="s">
        <v>43</v>
      </c>
      <c r="B6" s="36">
        <v>7465</v>
      </c>
      <c r="C6" s="36">
        <v>12325</v>
      </c>
      <c r="D6" s="36">
        <v>11915</v>
      </c>
      <c r="E6" s="36">
        <v>7191</v>
      </c>
      <c r="F6" s="36">
        <v>4529</v>
      </c>
      <c r="G6" s="36">
        <v>4351</v>
      </c>
      <c r="H6" s="36">
        <v>3779</v>
      </c>
      <c r="I6" s="36">
        <v>4419</v>
      </c>
      <c r="J6" s="36">
        <v>4363</v>
      </c>
      <c r="K6" s="36">
        <v>4185</v>
      </c>
      <c r="L6" s="36">
        <v>4022</v>
      </c>
      <c r="M6" s="36">
        <v>4184</v>
      </c>
      <c r="N6" s="36">
        <v>5563</v>
      </c>
      <c r="O6" s="36">
        <v>10743</v>
      </c>
      <c r="P6" s="36">
        <v>9639</v>
      </c>
      <c r="Q6" s="36">
        <v>5309</v>
      </c>
      <c r="R6" s="36">
        <v>3610</v>
      </c>
      <c r="S6" s="63">
        <v>3393</v>
      </c>
      <c r="T6" s="63">
        <v>3372</v>
      </c>
      <c r="U6" s="63">
        <v>3904</v>
      </c>
      <c r="V6" s="63">
        <v>4247</v>
      </c>
      <c r="W6" s="63">
        <v>3508</v>
      </c>
      <c r="X6" s="63">
        <v>3215</v>
      </c>
      <c r="Y6" s="63">
        <v>3489</v>
      </c>
      <c r="Z6" s="63">
        <v>5719</v>
      </c>
      <c r="AA6" s="63">
        <v>11658</v>
      </c>
      <c r="AB6" s="63">
        <v>10523</v>
      </c>
      <c r="AC6" s="63">
        <v>5868</v>
      </c>
      <c r="AD6" s="63">
        <v>3492</v>
      </c>
      <c r="AE6" s="63">
        <v>3145</v>
      </c>
      <c r="AF6" s="63">
        <v>2680</v>
      </c>
      <c r="AG6" s="63">
        <v>2932</v>
      </c>
      <c r="AH6" s="63">
        <v>3523</v>
      </c>
      <c r="AI6" s="63">
        <v>3358</v>
      </c>
      <c r="AJ6" s="63">
        <v>2940</v>
      </c>
      <c r="AK6" s="63">
        <v>3198</v>
      </c>
      <c r="AL6" s="63">
        <v>4855</v>
      </c>
      <c r="AM6" s="63">
        <v>10836</v>
      </c>
      <c r="AN6" s="63">
        <v>11700</v>
      </c>
      <c r="AO6" s="63">
        <v>11730</v>
      </c>
      <c r="AP6" s="63">
        <v>6502</v>
      </c>
      <c r="AQ6" s="63">
        <v>6403</v>
      </c>
      <c r="AR6" s="63">
        <v>5658</v>
      </c>
      <c r="AS6" s="26">
        <f t="shared" si="0"/>
        <v>-745</v>
      </c>
      <c r="AT6" s="94">
        <f t="shared" si="1"/>
        <v>-0.11635171013587381</v>
      </c>
      <c r="AU6" s="26">
        <f t="shared" si="2"/>
        <v>2978</v>
      </c>
      <c r="AV6" s="41" t="s">
        <v>43</v>
      </c>
    </row>
    <row r="7" spans="1:48" x14ac:dyDescent="0.25">
      <c r="A7" s="40" t="s">
        <v>44</v>
      </c>
      <c r="B7" s="36">
        <v>5771</v>
      </c>
      <c r="C7" s="36">
        <v>5833</v>
      </c>
      <c r="D7" s="36">
        <v>5992</v>
      </c>
      <c r="E7" s="36">
        <v>6673</v>
      </c>
      <c r="F7" s="36">
        <v>6511</v>
      </c>
      <c r="G7" s="36">
        <v>5372</v>
      </c>
      <c r="H7" s="36">
        <v>5303</v>
      </c>
      <c r="I7" s="36">
        <v>4847</v>
      </c>
      <c r="J7" s="36">
        <v>4446</v>
      </c>
      <c r="K7" s="36">
        <v>3912</v>
      </c>
      <c r="L7" s="36">
        <v>3822</v>
      </c>
      <c r="M7" s="36">
        <v>3842</v>
      </c>
      <c r="N7" s="36">
        <v>3976</v>
      </c>
      <c r="O7" s="36">
        <v>3963</v>
      </c>
      <c r="P7" s="36">
        <v>3997</v>
      </c>
      <c r="Q7" s="36">
        <v>4117</v>
      </c>
      <c r="R7" s="36">
        <v>3983</v>
      </c>
      <c r="S7" s="63">
        <v>3462</v>
      </c>
      <c r="T7" s="63">
        <v>3461</v>
      </c>
      <c r="U7" s="63">
        <v>3286</v>
      </c>
      <c r="V7" s="63">
        <v>3172</v>
      </c>
      <c r="W7" s="63">
        <v>3234</v>
      </c>
      <c r="X7" s="63">
        <v>3044</v>
      </c>
      <c r="Y7" s="63">
        <v>3204</v>
      </c>
      <c r="Z7" s="63">
        <v>3196</v>
      </c>
      <c r="AA7" s="63">
        <v>3100</v>
      </c>
      <c r="AB7" s="63">
        <v>3433</v>
      </c>
      <c r="AC7" s="63">
        <v>3861</v>
      </c>
      <c r="AD7" s="63">
        <v>3706</v>
      </c>
      <c r="AE7" s="63">
        <v>3269</v>
      </c>
      <c r="AF7" s="63">
        <v>3361</v>
      </c>
      <c r="AG7" s="63">
        <v>3258</v>
      </c>
      <c r="AH7" s="63">
        <v>2900</v>
      </c>
      <c r="AI7" s="63">
        <v>2679</v>
      </c>
      <c r="AJ7" s="63">
        <v>2664</v>
      </c>
      <c r="AK7" s="63">
        <v>2797</v>
      </c>
      <c r="AL7" s="63">
        <v>2730</v>
      </c>
      <c r="AM7" s="63">
        <v>2764</v>
      </c>
      <c r="AN7" s="63">
        <v>3471</v>
      </c>
      <c r="AO7" s="63">
        <v>5589</v>
      </c>
      <c r="AP7" s="63">
        <v>12133</v>
      </c>
      <c r="AQ7" s="63">
        <v>12469</v>
      </c>
      <c r="AR7" s="63">
        <v>12441</v>
      </c>
      <c r="AS7" s="26">
        <f t="shared" si="0"/>
        <v>-28</v>
      </c>
      <c r="AT7" s="94">
        <f t="shared" si="1"/>
        <v>-2.245569011147646E-3</v>
      </c>
      <c r="AU7" s="26">
        <f t="shared" si="2"/>
        <v>9080</v>
      </c>
      <c r="AV7" s="40" t="s">
        <v>44</v>
      </c>
    </row>
    <row r="8" spans="1:48" s="104" customFormat="1" x14ac:dyDescent="0.25">
      <c r="A8" s="101" t="s">
        <v>122</v>
      </c>
      <c r="B8" s="102">
        <v>11210</v>
      </c>
      <c r="C8" s="102">
        <v>11221</v>
      </c>
      <c r="D8" s="102">
        <v>11045</v>
      </c>
      <c r="E8" s="102">
        <v>10860</v>
      </c>
      <c r="F8" s="102">
        <v>10687</v>
      </c>
      <c r="G8" s="102">
        <v>10576</v>
      </c>
      <c r="H8" s="102">
        <v>10380</v>
      </c>
      <c r="I8" s="102">
        <v>10264</v>
      </c>
      <c r="J8" s="102">
        <v>10014</v>
      </c>
      <c r="K8" s="102">
        <v>9729</v>
      </c>
      <c r="L8" s="102">
        <v>9487</v>
      </c>
      <c r="M8" s="102">
        <v>9291</v>
      </c>
      <c r="N8" s="102">
        <v>9126</v>
      </c>
      <c r="O8" s="102">
        <v>8880</v>
      </c>
      <c r="P8" s="102">
        <v>8636</v>
      </c>
      <c r="Q8" s="102">
        <v>8235</v>
      </c>
      <c r="R8" s="102">
        <v>7856</v>
      </c>
      <c r="S8" s="103">
        <v>7429</v>
      </c>
      <c r="T8" s="103">
        <v>6980</v>
      </c>
      <c r="U8" s="103">
        <v>6617</v>
      </c>
      <c r="V8" s="103">
        <v>6393</v>
      </c>
      <c r="W8" s="103">
        <v>5952</v>
      </c>
      <c r="X8" s="103">
        <v>5745</v>
      </c>
      <c r="Y8" s="103">
        <v>5468</v>
      </c>
      <c r="Z8" s="103">
        <v>5313</v>
      </c>
      <c r="AA8" s="103">
        <v>5171</v>
      </c>
      <c r="AB8" s="103">
        <v>4952</v>
      </c>
      <c r="AC8" s="103">
        <v>4796</v>
      </c>
      <c r="AD8" s="103">
        <v>4594</v>
      </c>
      <c r="AE8" s="103">
        <v>4420</v>
      </c>
      <c r="AF8" s="103">
        <v>4136</v>
      </c>
      <c r="AG8" s="103">
        <v>3992</v>
      </c>
      <c r="AH8" s="103">
        <v>3982</v>
      </c>
      <c r="AI8" s="103">
        <v>3821</v>
      </c>
      <c r="AJ8" s="103">
        <v>3715</v>
      </c>
      <c r="AK8" s="103">
        <v>3478</v>
      </c>
      <c r="AL8" s="103">
        <v>3454</v>
      </c>
      <c r="AM8" s="103">
        <v>3369</v>
      </c>
      <c r="AN8" s="103">
        <v>3423</v>
      </c>
      <c r="AO8" s="103">
        <v>3615</v>
      </c>
      <c r="AP8" s="103">
        <v>3960</v>
      </c>
      <c r="AQ8" s="103">
        <v>4241</v>
      </c>
      <c r="AR8" s="103">
        <v>4440</v>
      </c>
      <c r="AS8" s="26">
        <f t="shared" si="0"/>
        <v>199</v>
      </c>
      <c r="AT8" s="94">
        <f t="shared" si="1"/>
        <v>4.6922895543503894E-2</v>
      </c>
      <c r="AU8" s="26">
        <f t="shared" si="2"/>
        <v>304</v>
      </c>
      <c r="AV8" s="101" t="s">
        <v>45</v>
      </c>
    </row>
    <row r="9" spans="1:48" s="104" customFormat="1" x14ac:dyDescent="0.25">
      <c r="A9" s="101" t="s">
        <v>113</v>
      </c>
      <c r="B9" s="105">
        <f t="shared" ref="B9:E9" si="4">B7+B8</f>
        <v>16981</v>
      </c>
      <c r="C9" s="105">
        <f t="shared" si="4"/>
        <v>17054</v>
      </c>
      <c r="D9" s="105">
        <f t="shared" si="4"/>
        <v>17037</v>
      </c>
      <c r="E9" s="105">
        <f t="shared" si="4"/>
        <v>17533</v>
      </c>
      <c r="F9" s="105">
        <f t="shared" ref="F9:AR9" si="5">F7+F8</f>
        <v>17198</v>
      </c>
      <c r="G9" s="102">
        <f t="shared" si="5"/>
        <v>15948</v>
      </c>
      <c r="H9" s="102">
        <f t="shared" si="5"/>
        <v>15683</v>
      </c>
      <c r="I9" s="102">
        <f t="shared" si="5"/>
        <v>15111</v>
      </c>
      <c r="J9" s="102">
        <f t="shared" si="5"/>
        <v>14460</v>
      </c>
      <c r="K9" s="102">
        <f t="shared" si="5"/>
        <v>13641</v>
      </c>
      <c r="L9" s="102">
        <f t="shared" si="5"/>
        <v>13309</v>
      </c>
      <c r="M9" s="102">
        <f t="shared" si="5"/>
        <v>13133</v>
      </c>
      <c r="N9" s="102">
        <f t="shared" si="5"/>
        <v>13102</v>
      </c>
      <c r="O9" s="102">
        <f t="shared" si="5"/>
        <v>12843</v>
      </c>
      <c r="P9" s="102">
        <f t="shared" si="5"/>
        <v>12633</v>
      </c>
      <c r="Q9" s="102">
        <f t="shared" si="5"/>
        <v>12352</v>
      </c>
      <c r="R9" s="102">
        <f t="shared" si="5"/>
        <v>11839</v>
      </c>
      <c r="S9" s="102">
        <f t="shared" si="5"/>
        <v>10891</v>
      </c>
      <c r="T9" s="102">
        <f t="shared" si="5"/>
        <v>10441</v>
      </c>
      <c r="U9" s="102">
        <f t="shared" si="5"/>
        <v>9903</v>
      </c>
      <c r="V9" s="102">
        <f t="shared" si="5"/>
        <v>9565</v>
      </c>
      <c r="W9" s="102">
        <f t="shared" si="5"/>
        <v>9186</v>
      </c>
      <c r="X9" s="102">
        <f t="shared" si="5"/>
        <v>8789</v>
      </c>
      <c r="Y9" s="102">
        <f t="shared" si="5"/>
        <v>8672</v>
      </c>
      <c r="Z9" s="102">
        <f t="shared" si="5"/>
        <v>8509</v>
      </c>
      <c r="AA9" s="102">
        <f t="shared" si="5"/>
        <v>8271</v>
      </c>
      <c r="AB9" s="102">
        <f t="shared" si="5"/>
        <v>8385</v>
      </c>
      <c r="AC9" s="102">
        <f t="shared" si="5"/>
        <v>8657</v>
      </c>
      <c r="AD9" s="102">
        <f t="shared" si="5"/>
        <v>8300</v>
      </c>
      <c r="AE9" s="102">
        <f t="shared" si="5"/>
        <v>7689</v>
      </c>
      <c r="AF9" s="102">
        <f t="shared" si="5"/>
        <v>7497</v>
      </c>
      <c r="AG9" s="102">
        <f t="shared" si="5"/>
        <v>7250</v>
      </c>
      <c r="AH9" s="102">
        <f t="shared" si="5"/>
        <v>6882</v>
      </c>
      <c r="AI9" s="102">
        <f t="shared" si="5"/>
        <v>6500</v>
      </c>
      <c r="AJ9" s="102">
        <f t="shared" si="5"/>
        <v>6379</v>
      </c>
      <c r="AK9" s="102">
        <f t="shared" si="5"/>
        <v>6275</v>
      </c>
      <c r="AL9" s="102">
        <f t="shared" si="5"/>
        <v>6184</v>
      </c>
      <c r="AM9" s="102">
        <f t="shared" si="5"/>
        <v>6133</v>
      </c>
      <c r="AN9" s="102">
        <f t="shared" si="5"/>
        <v>6894</v>
      </c>
      <c r="AO9" s="102">
        <f t="shared" si="5"/>
        <v>9204</v>
      </c>
      <c r="AP9" s="102">
        <f t="shared" si="5"/>
        <v>16093</v>
      </c>
      <c r="AQ9" s="102">
        <f t="shared" si="5"/>
        <v>16710</v>
      </c>
      <c r="AR9" s="102">
        <f t="shared" si="5"/>
        <v>16881</v>
      </c>
      <c r="AS9" s="26">
        <f t="shared" si="0"/>
        <v>171</v>
      </c>
      <c r="AT9" s="94">
        <f t="shared" si="1"/>
        <v>1.0233393177737882E-2</v>
      </c>
      <c r="AU9" s="26">
        <f t="shared" si="2"/>
        <v>9384</v>
      </c>
      <c r="AV9" s="101" t="s">
        <v>113</v>
      </c>
    </row>
    <row r="10" spans="1:48" x14ac:dyDescent="0.25">
      <c r="A10" s="35" t="s">
        <v>12</v>
      </c>
      <c r="B10" s="33">
        <f>SUM(B3:B8)</f>
        <v>42839</v>
      </c>
      <c r="C10" s="33">
        <f>SUM(C3:C8)</f>
        <v>42326</v>
      </c>
      <c r="D10" s="33">
        <f>SUM(D3:D8)</f>
        <v>39088</v>
      </c>
      <c r="E10" s="33">
        <f>SUM(E3:E8)</f>
        <v>32804</v>
      </c>
      <c r="F10" s="33">
        <f t="shared" ref="F10:X10" si="6">SUM(F3:F8)</f>
        <v>29922</v>
      </c>
      <c r="G10" s="38">
        <f t="shared" si="6"/>
        <v>30577</v>
      </c>
      <c r="H10" s="38">
        <f t="shared" si="6"/>
        <v>31670</v>
      </c>
      <c r="I10" s="38">
        <f t="shared" si="6"/>
        <v>31003</v>
      </c>
      <c r="J10" s="38">
        <f t="shared" si="6"/>
        <v>27951</v>
      </c>
      <c r="K10" s="38">
        <f t="shared" si="6"/>
        <v>26436</v>
      </c>
      <c r="L10" s="38">
        <f t="shared" si="6"/>
        <v>33780</v>
      </c>
      <c r="M10" s="38">
        <f t="shared" si="6"/>
        <v>35771</v>
      </c>
      <c r="N10" s="38">
        <f t="shared" si="6"/>
        <v>35989</v>
      </c>
      <c r="O10" s="38">
        <f t="shared" si="6"/>
        <v>34204</v>
      </c>
      <c r="P10" s="38">
        <f t="shared" si="6"/>
        <v>30616</v>
      </c>
      <c r="Q10" s="38">
        <f t="shared" si="6"/>
        <v>24903</v>
      </c>
      <c r="R10" s="38">
        <f t="shared" si="6"/>
        <v>22839</v>
      </c>
      <c r="S10" s="38">
        <f t="shared" si="6"/>
        <v>23808</v>
      </c>
      <c r="T10" s="38">
        <f t="shared" si="6"/>
        <v>24803</v>
      </c>
      <c r="U10" s="38">
        <f t="shared" si="6"/>
        <v>23866</v>
      </c>
      <c r="V10" s="38">
        <f t="shared" si="6"/>
        <v>21399</v>
      </c>
      <c r="W10" s="38">
        <f t="shared" si="6"/>
        <v>20447</v>
      </c>
      <c r="X10" s="38">
        <f t="shared" si="6"/>
        <v>28514</v>
      </c>
      <c r="Y10" s="38">
        <f>Y3+Y4+Y6+Y7+Y8</f>
        <v>29800</v>
      </c>
      <c r="Z10" s="38">
        <f t="shared" ref="Z10:AM10" si="7">Z3+Z4+Z6+Z7+Z8</f>
        <v>30951</v>
      </c>
      <c r="AA10" s="38">
        <f t="shared" si="7"/>
        <v>29751</v>
      </c>
      <c r="AB10" s="38">
        <f t="shared" si="7"/>
        <v>26508</v>
      </c>
      <c r="AC10" s="38">
        <f t="shared" si="7"/>
        <v>20315</v>
      </c>
      <c r="AD10" s="38">
        <f t="shared" si="7"/>
        <v>17607</v>
      </c>
      <c r="AE10" s="38">
        <f t="shared" si="7"/>
        <v>18960</v>
      </c>
      <c r="AF10" s="38">
        <f t="shared" si="7"/>
        <v>20582</v>
      </c>
      <c r="AG10" s="38">
        <f t="shared" si="7"/>
        <v>19883</v>
      </c>
      <c r="AH10" s="38">
        <f t="shared" si="7"/>
        <v>16968</v>
      </c>
      <c r="AI10" s="38">
        <f t="shared" si="7"/>
        <v>16544</v>
      </c>
      <c r="AJ10" s="38">
        <f t="shared" si="7"/>
        <v>24495</v>
      </c>
      <c r="AK10" s="38">
        <f t="shared" si="7"/>
        <v>25285</v>
      </c>
      <c r="AL10" s="38">
        <f t="shared" si="7"/>
        <v>26214</v>
      </c>
      <c r="AM10" s="38">
        <f t="shared" si="7"/>
        <v>25620</v>
      </c>
      <c r="AN10" s="38">
        <f>AN3+AN4+AN6+AN7+AN8</f>
        <v>26353</v>
      </c>
      <c r="AO10" s="38">
        <f>AO3+AO4+AO6+AO7+AO8</f>
        <v>28591</v>
      </c>
      <c r="AP10" s="38">
        <f>AP3+AP4+AP6+AP7+AP8</f>
        <v>29604</v>
      </c>
      <c r="AQ10" s="38">
        <f>AQ3+AQ4+AQ6+AQ7+AQ8</f>
        <v>31158</v>
      </c>
      <c r="AR10" s="38">
        <f>AR3+AR4+AR6+AR7+AR8</f>
        <v>32313</v>
      </c>
      <c r="AS10" s="26">
        <f t="shared" si="0"/>
        <v>1155</v>
      </c>
      <c r="AT10" s="94">
        <f t="shared" si="1"/>
        <v>3.7069131523204311E-2</v>
      </c>
      <c r="AU10" s="26">
        <f t="shared" si="2"/>
        <v>11731</v>
      </c>
    </row>
    <row r="11" spans="1:48" x14ac:dyDescent="0.25">
      <c r="AU11" s="26"/>
    </row>
    <row r="12" spans="1:48" x14ac:dyDescent="0.25"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</row>
    <row r="13" spans="1:48" x14ac:dyDescent="0.25"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</row>
    <row r="14" spans="1:48" x14ac:dyDescent="0.25"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</row>
    <row r="15" spans="1:48" x14ac:dyDescent="0.25"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</row>
    <row r="16" spans="1:48" x14ac:dyDescent="0.25"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</row>
    <row r="18" spans="2:44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19" spans="2:44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100"/>
      <c r="AN19" s="100"/>
      <c r="AO19" s="100"/>
      <c r="AP19" s="100"/>
      <c r="AQ19" s="100"/>
      <c r="AR19" s="100"/>
    </row>
    <row r="20" spans="2:44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2:44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spans="2:44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spans="2:44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spans="2:44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spans="2:44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spans="2:44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</row>
    <row r="37" spans="4:4" x14ac:dyDescent="0.25">
      <c r="D37" s="58" t="s">
        <v>115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W53"/>
  <sheetViews>
    <sheetView topLeftCell="AS1" zoomScale="72" zoomScaleNormal="72" workbookViewId="0">
      <selection activeCell="BS3" sqref="BS3"/>
    </sheetView>
  </sheetViews>
  <sheetFormatPr defaultColWidth="9.140625" defaultRowHeight="15.75" x14ac:dyDescent="0.25"/>
  <cols>
    <col min="1" max="1" width="21.28515625" style="23" customWidth="1"/>
    <col min="2" max="69" width="9.140625" style="23"/>
    <col min="70" max="70" width="10.85546875" style="23" customWidth="1"/>
    <col min="71" max="71" width="9.140625" style="23"/>
    <col min="72" max="72" width="11.140625" style="23" customWidth="1"/>
    <col min="73" max="73" width="23" style="23" customWidth="1"/>
    <col min="74" max="16384" width="9.140625" style="23"/>
  </cols>
  <sheetData>
    <row r="1" spans="1:75" s="29" customFormat="1" x14ac:dyDescent="0.25">
      <c r="A1" s="28"/>
      <c r="B1" s="28">
        <v>2015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8">
        <v>2016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>
        <v>2017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>
        <v>2017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>
        <v>2019</v>
      </c>
      <c r="AY1" s="37"/>
      <c r="AZ1" s="37"/>
      <c r="BA1" s="37"/>
      <c r="BB1" s="37"/>
      <c r="BC1" s="37"/>
      <c r="BD1" s="37">
        <v>2019</v>
      </c>
      <c r="BE1" s="37"/>
      <c r="BF1" s="37"/>
      <c r="BG1" s="37"/>
      <c r="BH1" s="37"/>
      <c r="BI1" s="37"/>
      <c r="BJ1" s="37">
        <v>2020</v>
      </c>
      <c r="BK1" s="37"/>
      <c r="BL1" s="37"/>
      <c r="BM1" s="37"/>
      <c r="BN1" s="37"/>
      <c r="BO1" s="37"/>
      <c r="BP1" s="37"/>
    </row>
    <row r="2" spans="1:75" s="29" customFormat="1" x14ac:dyDescent="0.25">
      <c r="A2" s="30"/>
      <c r="B2" s="28" t="s">
        <v>0</v>
      </c>
      <c r="C2" s="28" t="s">
        <v>1</v>
      </c>
      <c r="D2" s="28" t="s">
        <v>2</v>
      </c>
      <c r="E2" s="28" t="s">
        <v>3</v>
      </c>
      <c r="F2" s="31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0</v>
      </c>
      <c r="O2" s="28" t="s">
        <v>1</v>
      </c>
      <c r="P2" s="28" t="s">
        <v>2</v>
      </c>
      <c r="Q2" s="28" t="s">
        <v>3</v>
      </c>
      <c r="R2" s="31" t="s">
        <v>4</v>
      </c>
      <c r="S2" s="28" t="s">
        <v>5</v>
      </c>
      <c r="T2" s="28" t="s">
        <v>6</v>
      </c>
      <c r="U2" s="28" t="s">
        <v>7</v>
      </c>
      <c r="V2" s="28" t="s">
        <v>8</v>
      </c>
      <c r="W2" s="28" t="s">
        <v>9</v>
      </c>
      <c r="X2" s="28" t="s">
        <v>10</v>
      </c>
      <c r="Y2" s="28" t="s">
        <v>11</v>
      </c>
      <c r="Z2" s="28" t="s">
        <v>0</v>
      </c>
      <c r="AA2" s="28" t="s">
        <v>1</v>
      </c>
      <c r="AB2" s="28" t="s">
        <v>2</v>
      </c>
      <c r="AC2" s="28" t="s">
        <v>3</v>
      </c>
      <c r="AD2" s="31" t="s">
        <v>4</v>
      </c>
      <c r="AE2" s="31" t="s">
        <v>5</v>
      </c>
      <c r="AF2" s="28" t="s">
        <v>6</v>
      </c>
      <c r="AG2" s="28" t="s">
        <v>7</v>
      </c>
      <c r="AH2" s="28" t="s">
        <v>8</v>
      </c>
      <c r="AI2" s="28" t="s">
        <v>9</v>
      </c>
      <c r="AJ2" s="28" t="s">
        <v>10</v>
      </c>
      <c r="AK2" s="28" t="s">
        <v>11</v>
      </c>
      <c r="AL2" s="28" t="s">
        <v>0</v>
      </c>
      <c r="AM2" s="28" t="s">
        <v>1</v>
      </c>
      <c r="AN2" s="28" t="s">
        <v>2</v>
      </c>
      <c r="AO2" s="28" t="s">
        <v>3</v>
      </c>
      <c r="AP2" s="31" t="s">
        <v>4</v>
      </c>
      <c r="AQ2" s="31" t="s">
        <v>5</v>
      </c>
      <c r="AR2" s="28" t="s">
        <v>6</v>
      </c>
      <c r="AS2" s="28" t="s">
        <v>7</v>
      </c>
      <c r="AT2" s="28" t="s">
        <v>8</v>
      </c>
      <c r="AU2" s="28" t="s">
        <v>9</v>
      </c>
      <c r="AV2" s="28" t="s">
        <v>10</v>
      </c>
      <c r="AW2" s="28" t="s">
        <v>11</v>
      </c>
      <c r="AX2" s="28" t="s">
        <v>0</v>
      </c>
      <c r="AY2" s="28" t="s">
        <v>1</v>
      </c>
      <c r="AZ2" s="28" t="s">
        <v>2</v>
      </c>
      <c r="BA2" s="28" t="s">
        <v>3</v>
      </c>
      <c r="BB2" s="31" t="s">
        <v>4</v>
      </c>
      <c r="BC2" s="31" t="s">
        <v>5</v>
      </c>
      <c r="BD2" s="28" t="s">
        <v>6</v>
      </c>
      <c r="BE2" s="28" t="s">
        <v>7</v>
      </c>
      <c r="BF2" s="28" t="s">
        <v>8</v>
      </c>
      <c r="BG2" s="28" t="s">
        <v>9</v>
      </c>
      <c r="BH2" s="28" t="s">
        <v>10</v>
      </c>
      <c r="BI2" s="28" t="s">
        <v>11</v>
      </c>
      <c r="BJ2" s="28" t="s">
        <v>0</v>
      </c>
      <c r="BK2" s="28" t="s">
        <v>1</v>
      </c>
      <c r="BL2" s="28" t="s">
        <v>2</v>
      </c>
      <c r="BM2" s="28" t="s">
        <v>3</v>
      </c>
      <c r="BN2" s="31" t="s">
        <v>4</v>
      </c>
      <c r="BO2" s="31" t="s">
        <v>5</v>
      </c>
      <c r="BP2" s="28" t="s">
        <v>6</v>
      </c>
      <c r="BQ2" s="84" t="s">
        <v>108</v>
      </c>
      <c r="BR2" s="84" t="s">
        <v>118</v>
      </c>
      <c r="BS2" s="28" t="s">
        <v>109</v>
      </c>
      <c r="BT2" s="28" t="s">
        <v>119</v>
      </c>
      <c r="BU2" s="28"/>
    </row>
    <row r="3" spans="1:75" s="29" customFormat="1" x14ac:dyDescent="0.25">
      <c r="A3" s="32" t="s">
        <v>53</v>
      </c>
      <c r="B3" s="28">
        <v>37902</v>
      </c>
      <c r="C3" s="27">
        <v>37926</v>
      </c>
      <c r="D3" s="27">
        <v>36410</v>
      </c>
      <c r="E3" s="27">
        <v>33177</v>
      </c>
      <c r="F3" s="27">
        <v>31543</v>
      </c>
      <c r="G3" s="27">
        <v>33099</v>
      </c>
      <c r="H3" s="27">
        <v>34676</v>
      </c>
      <c r="I3" s="27">
        <v>33719</v>
      </c>
      <c r="J3" s="27">
        <v>30960</v>
      </c>
      <c r="K3" s="27">
        <v>29368</v>
      </c>
      <c r="L3" s="27">
        <v>32586</v>
      </c>
      <c r="M3" s="27">
        <v>33017</v>
      </c>
      <c r="N3" s="28">
        <v>33817</v>
      </c>
      <c r="O3" s="28">
        <v>33713</v>
      </c>
      <c r="P3" s="28">
        <v>31696</v>
      </c>
      <c r="Q3" s="1">
        <v>28024</v>
      </c>
      <c r="R3" s="87">
        <v>26218</v>
      </c>
      <c r="S3" s="87">
        <v>27724</v>
      </c>
      <c r="T3" s="87">
        <v>28644</v>
      </c>
      <c r="U3" s="87">
        <v>28217</v>
      </c>
      <c r="V3" s="87">
        <v>26100</v>
      </c>
      <c r="W3" s="87">
        <v>25447</v>
      </c>
      <c r="X3" s="87">
        <v>28852</v>
      </c>
      <c r="Y3" s="87">
        <v>29452</v>
      </c>
      <c r="Z3" s="87">
        <v>30074</v>
      </c>
      <c r="AA3" s="87">
        <v>29654</v>
      </c>
      <c r="AB3" s="87">
        <v>27734</v>
      </c>
      <c r="AC3" s="87">
        <v>23905</v>
      </c>
      <c r="AD3" s="87">
        <v>22184</v>
      </c>
      <c r="AE3" s="87">
        <v>23107</v>
      </c>
      <c r="AF3" s="87">
        <v>24303</v>
      </c>
      <c r="AG3" s="87">
        <v>23841</v>
      </c>
      <c r="AH3" s="87">
        <v>20909</v>
      </c>
      <c r="AI3" s="87">
        <v>19364</v>
      </c>
      <c r="AJ3" s="87">
        <v>22780</v>
      </c>
      <c r="AK3" s="87">
        <v>24064</v>
      </c>
      <c r="AL3" s="87">
        <v>23919</v>
      </c>
      <c r="AM3" s="87">
        <v>22628</v>
      </c>
      <c r="AN3" s="87">
        <v>20837</v>
      </c>
      <c r="AO3" s="87">
        <v>17795</v>
      </c>
      <c r="AP3" s="87">
        <v>16731</v>
      </c>
      <c r="AQ3" s="87">
        <v>17907</v>
      </c>
      <c r="AR3" s="87">
        <v>19129</v>
      </c>
      <c r="AS3" s="87">
        <v>18460</v>
      </c>
      <c r="AT3" s="87">
        <v>16036</v>
      </c>
      <c r="AU3" s="87">
        <v>15032</v>
      </c>
      <c r="AV3" s="87">
        <v>18591</v>
      </c>
      <c r="AW3" s="87">
        <v>19354</v>
      </c>
      <c r="AX3" s="87">
        <v>19911</v>
      </c>
      <c r="AY3" s="87">
        <v>18983</v>
      </c>
      <c r="AZ3" s="87">
        <v>17591</v>
      </c>
      <c r="BA3" s="87">
        <v>14429</v>
      </c>
      <c r="BB3" s="87">
        <v>13066</v>
      </c>
      <c r="BC3" s="87">
        <v>14520</v>
      </c>
      <c r="BD3" s="87">
        <v>16081</v>
      </c>
      <c r="BE3" s="87">
        <v>15644</v>
      </c>
      <c r="BF3" s="87">
        <v>12674</v>
      </c>
      <c r="BG3" s="87">
        <v>11921</v>
      </c>
      <c r="BH3" s="87">
        <v>15352</v>
      </c>
      <c r="BI3" s="87">
        <v>15490</v>
      </c>
      <c r="BJ3" s="87">
        <v>15998</v>
      </c>
      <c r="BK3" s="87">
        <v>15686</v>
      </c>
      <c r="BL3" s="87">
        <v>16354</v>
      </c>
      <c r="BM3" s="87">
        <v>17832</v>
      </c>
      <c r="BN3" s="87">
        <v>18581</v>
      </c>
      <c r="BO3" s="87">
        <v>20290</v>
      </c>
      <c r="BP3" s="87">
        <v>21691</v>
      </c>
      <c r="BQ3" s="28">
        <f>BP3-BD3</f>
        <v>5610</v>
      </c>
      <c r="BR3" s="97">
        <f>BQ3/BD3</f>
        <v>0.34885890180958895</v>
      </c>
      <c r="BS3" s="28">
        <f>BP3-BO3</f>
        <v>1401</v>
      </c>
      <c r="BT3" s="97">
        <f>BS3/BO3</f>
        <v>6.9048792508624932E-2</v>
      </c>
      <c r="BU3" s="32" t="s">
        <v>53</v>
      </c>
      <c r="BV3" s="96"/>
      <c r="BW3" s="96"/>
    </row>
    <row r="4" spans="1:75" s="29" customFormat="1" x14ac:dyDescent="0.25">
      <c r="A4" s="34" t="s">
        <v>54</v>
      </c>
      <c r="B4" s="28">
        <v>7601</v>
      </c>
      <c r="C4" s="27">
        <v>7742</v>
      </c>
      <c r="D4" s="27">
        <v>7025</v>
      </c>
      <c r="E4" s="27">
        <v>5395</v>
      </c>
      <c r="F4" s="27">
        <v>4392</v>
      </c>
      <c r="G4" s="27">
        <v>4137</v>
      </c>
      <c r="H4" s="27">
        <v>3963</v>
      </c>
      <c r="I4" s="27">
        <v>3786</v>
      </c>
      <c r="J4" s="27">
        <v>3796</v>
      </c>
      <c r="K4" s="27">
        <v>3957</v>
      </c>
      <c r="L4" s="27">
        <v>6498</v>
      </c>
      <c r="M4" s="27">
        <v>6824</v>
      </c>
      <c r="N4" s="28">
        <v>7187</v>
      </c>
      <c r="O4" s="28">
        <v>7169</v>
      </c>
      <c r="P4" s="28">
        <v>6246</v>
      </c>
      <c r="Q4" s="1">
        <v>4536</v>
      </c>
      <c r="R4" s="87">
        <v>3657</v>
      </c>
      <c r="S4" s="87">
        <v>3515</v>
      </c>
      <c r="T4" s="87">
        <v>3494</v>
      </c>
      <c r="U4" s="87">
        <v>3436</v>
      </c>
      <c r="V4" s="87">
        <v>3535</v>
      </c>
      <c r="W4" s="87">
        <v>3687</v>
      </c>
      <c r="X4" s="87">
        <v>6425</v>
      </c>
      <c r="Y4" s="87">
        <v>6869</v>
      </c>
      <c r="Z4" s="87">
        <v>7119</v>
      </c>
      <c r="AA4" s="87">
        <v>7078</v>
      </c>
      <c r="AB4" s="87">
        <v>6032</v>
      </c>
      <c r="AC4" s="87">
        <v>4247</v>
      </c>
      <c r="AD4" s="87">
        <v>3367</v>
      </c>
      <c r="AE4" s="87">
        <v>3192</v>
      </c>
      <c r="AF4" s="87">
        <v>3179</v>
      </c>
      <c r="AG4" s="87">
        <v>3038</v>
      </c>
      <c r="AH4" s="87">
        <v>2944</v>
      </c>
      <c r="AI4" s="87">
        <v>3059</v>
      </c>
      <c r="AJ4" s="87">
        <v>6152</v>
      </c>
      <c r="AK4" s="87">
        <v>6774</v>
      </c>
      <c r="AL4" s="87">
        <v>7061</v>
      </c>
      <c r="AM4" s="87">
        <v>6729</v>
      </c>
      <c r="AN4" s="87">
        <v>5329</v>
      </c>
      <c r="AO4" s="87">
        <v>3258</v>
      </c>
      <c r="AP4" s="87">
        <v>2554</v>
      </c>
      <c r="AQ4" s="87">
        <v>2529</v>
      </c>
      <c r="AR4" s="87">
        <v>2513</v>
      </c>
      <c r="AS4" s="87">
        <v>2379</v>
      </c>
      <c r="AT4" s="87">
        <v>2422</v>
      </c>
      <c r="AU4" s="87">
        <v>2630</v>
      </c>
      <c r="AV4" s="87">
        <v>6332</v>
      </c>
      <c r="AW4" s="87">
        <v>6828</v>
      </c>
      <c r="AX4" s="87">
        <v>7269</v>
      </c>
      <c r="AY4" s="87">
        <v>7095</v>
      </c>
      <c r="AZ4" s="87">
        <v>5678</v>
      </c>
      <c r="BA4" s="87">
        <v>3279</v>
      </c>
      <c r="BB4" s="87">
        <v>2334</v>
      </c>
      <c r="BC4" s="87">
        <v>2332</v>
      </c>
      <c r="BD4" s="87">
        <v>2405</v>
      </c>
      <c r="BE4" s="87">
        <v>2278</v>
      </c>
      <c r="BF4" s="87">
        <v>2278</v>
      </c>
      <c r="BG4" s="87">
        <v>2586</v>
      </c>
      <c r="BH4" s="87">
        <v>6266</v>
      </c>
      <c r="BI4" s="87">
        <v>6810</v>
      </c>
      <c r="BJ4" s="87">
        <v>7137</v>
      </c>
      <c r="BK4" s="87">
        <v>6870</v>
      </c>
      <c r="BL4" s="87">
        <v>6874</v>
      </c>
      <c r="BM4" s="87">
        <v>7404</v>
      </c>
      <c r="BN4" s="87">
        <v>7574</v>
      </c>
      <c r="BO4" s="87">
        <v>7420</v>
      </c>
      <c r="BP4" s="87">
        <v>7235</v>
      </c>
      <c r="BQ4" s="28">
        <f t="shared" ref="BQ4:BQ10" si="0">BP4-BD4</f>
        <v>4830</v>
      </c>
      <c r="BR4" s="97">
        <f t="shared" ref="BR4:BR10" si="1">BQ4/BD4</f>
        <v>2.0083160083160081</v>
      </c>
      <c r="BS4" s="28">
        <f t="shared" ref="BS4:BS10" si="2">BP4-BO4</f>
        <v>-185</v>
      </c>
      <c r="BT4" s="97">
        <f t="shared" ref="BT4:BT10" si="3">BS4/BO4</f>
        <v>-2.4932614555256066E-2</v>
      </c>
      <c r="BU4" s="34" t="s">
        <v>54</v>
      </c>
      <c r="BV4" s="96"/>
      <c r="BW4" s="96"/>
    </row>
    <row r="5" spans="1:75" s="29" customFormat="1" x14ac:dyDescent="0.25">
      <c r="A5" s="34" t="s">
        <v>55</v>
      </c>
      <c r="B5" s="28">
        <v>2020</v>
      </c>
      <c r="C5" s="27">
        <v>2005</v>
      </c>
      <c r="D5" s="27">
        <v>1889</v>
      </c>
      <c r="E5" s="27">
        <v>1682</v>
      </c>
      <c r="F5" s="27">
        <v>1525</v>
      </c>
      <c r="G5" s="27">
        <f>27+1404</f>
        <v>1431</v>
      </c>
      <c r="H5" s="27">
        <f>23+1336</f>
        <v>1359</v>
      </c>
      <c r="I5" s="27">
        <v>1302</v>
      </c>
      <c r="J5" s="27">
        <v>1353</v>
      </c>
      <c r="K5" s="27">
        <v>1372</v>
      </c>
      <c r="L5" s="27">
        <v>1703</v>
      </c>
      <c r="M5" s="27">
        <v>1791</v>
      </c>
      <c r="N5" s="28">
        <f>1809+38</f>
        <v>1847</v>
      </c>
      <c r="O5" s="28">
        <f>40+1845</f>
        <v>1885</v>
      </c>
      <c r="P5" s="28">
        <v>1735</v>
      </c>
      <c r="Q5" s="1">
        <v>1490</v>
      </c>
      <c r="R5" s="1">
        <f>1331+17</f>
        <v>1348</v>
      </c>
      <c r="S5" s="1">
        <f>15+1213</f>
        <v>1228</v>
      </c>
      <c r="T5" s="1">
        <f>17+1169</f>
        <v>1186</v>
      </c>
      <c r="U5" s="1">
        <v>1159</v>
      </c>
      <c r="V5" s="1">
        <f>16+1243</f>
        <v>1259</v>
      </c>
      <c r="W5" s="1">
        <f>17+1288</f>
        <v>1305</v>
      </c>
      <c r="X5" s="1">
        <f>41+1590</f>
        <v>1631</v>
      </c>
      <c r="Y5" s="1">
        <v>1746</v>
      </c>
      <c r="Z5" s="1">
        <f>44+1736</f>
        <v>1780</v>
      </c>
      <c r="AA5" s="1">
        <f>1661+45</f>
        <v>1706</v>
      </c>
      <c r="AB5" s="1">
        <f>1504+36</f>
        <v>1540</v>
      </c>
      <c r="AC5" s="1">
        <f>18+1204</f>
        <v>1222</v>
      </c>
      <c r="AD5" s="1">
        <f>16+1041</f>
        <v>1057</v>
      </c>
      <c r="AE5" s="1">
        <f>13+986</f>
        <v>999</v>
      </c>
      <c r="AF5" s="1">
        <f>17+936</f>
        <v>953</v>
      </c>
      <c r="AG5" s="1">
        <f>16+886</f>
        <v>902</v>
      </c>
      <c r="AH5" s="1">
        <f>14+909</f>
        <v>923</v>
      </c>
      <c r="AI5" s="1">
        <v>931</v>
      </c>
      <c r="AJ5" s="1">
        <f>23+1275</f>
        <v>1298</v>
      </c>
      <c r="AK5" s="1">
        <f>26+1322</f>
        <v>1348</v>
      </c>
      <c r="AL5" s="1">
        <f>27+1335</f>
        <v>1362</v>
      </c>
      <c r="AM5" s="1">
        <f>26+1256</f>
        <v>1282</v>
      </c>
      <c r="AN5" s="1">
        <f>16+1109</f>
        <v>1125</v>
      </c>
      <c r="AO5" s="1">
        <v>854</v>
      </c>
      <c r="AP5" s="1">
        <f>7+745</f>
        <v>752</v>
      </c>
      <c r="AQ5" s="1">
        <v>711</v>
      </c>
      <c r="AR5" s="1">
        <f>8+664</f>
        <v>672</v>
      </c>
      <c r="AS5" s="1">
        <v>657</v>
      </c>
      <c r="AT5" s="1">
        <v>681</v>
      </c>
      <c r="AU5" s="1">
        <f>11+692</f>
        <v>703</v>
      </c>
      <c r="AV5" s="1">
        <f>1024+33</f>
        <v>1057</v>
      </c>
      <c r="AW5" s="1">
        <f>43+1086</f>
        <v>1129</v>
      </c>
      <c r="AX5" s="1">
        <f>42+1134</f>
        <v>1176</v>
      </c>
      <c r="AY5" s="1">
        <f>1101+44</f>
        <v>1145</v>
      </c>
      <c r="AZ5" s="1">
        <f>29+934</f>
        <v>963</v>
      </c>
      <c r="BA5" s="1">
        <f>14+695</f>
        <v>709</v>
      </c>
      <c r="BB5" s="1">
        <f>12+544</f>
        <v>556</v>
      </c>
      <c r="BC5" s="1">
        <f>14+523</f>
        <v>537</v>
      </c>
      <c r="BD5" s="1">
        <v>513</v>
      </c>
      <c r="BE5" s="1">
        <v>474</v>
      </c>
      <c r="BF5" s="1">
        <f>495+9</f>
        <v>504</v>
      </c>
      <c r="BG5" s="1">
        <f>7+511</f>
        <v>518</v>
      </c>
      <c r="BH5" s="1">
        <f>22+753</f>
        <v>775</v>
      </c>
      <c r="BI5" s="1">
        <f>24+810</f>
        <v>834</v>
      </c>
      <c r="BJ5" s="1">
        <f>22+844</f>
        <v>866</v>
      </c>
      <c r="BK5" s="1">
        <f>20+823</f>
        <v>843</v>
      </c>
      <c r="BL5" s="1">
        <f>21+826</f>
        <v>847</v>
      </c>
      <c r="BM5" s="1">
        <f>895+20</f>
        <v>915</v>
      </c>
      <c r="BN5" s="1">
        <f>17+919</f>
        <v>936</v>
      </c>
      <c r="BO5" s="1">
        <f>16+909</f>
        <v>925</v>
      </c>
      <c r="BP5" s="1">
        <f>16+869</f>
        <v>885</v>
      </c>
      <c r="BQ5" s="28">
        <f t="shared" si="0"/>
        <v>372</v>
      </c>
      <c r="BR5" s="97">
        <f t="shared" si="1"/>
        <v>0.72514619883040932</v>
      </c>
      <c r="BS5" s="28">
        <f t="shared" si="2"/>
        <v>-40</v>
      </c>
      <c r="BT5" s="97">
        <f t="shared" si="3"/>
        <v>-4.3243243243243246E-2</v>
      </c>
      <c r="BU5" s="34" t="s">
        <v>55</v>
      </c>
      <c r="BV5" s="96"/>
      <c r="BW5" s="96"/>
    </row>
    <row r="6" spans="1:75" s="29" customFormat="1" x14ac:dyDescent="0.25">
      <c r="A6" s="32" t="s">
        <v>56</v>
      </c>
      <c r="B6" s="28">
        <v>220</v>
      </c>
      <c r="C6" s="27">
        <v>221</v>
      </c>
      <c r="D6" s="27">
        <v>217</v>
      </c>
      <c r="E6" s="27">
        <v>215</v>
      </c>
      <c r="F6" s="27">
        <v>215</v>
      </c>
      <c r="G6" s="27">
        <v>204</v>
      </c>
      <c r="H6" s="27">
        <v>196</v>
      </c>
      <c r="I6" s="27">
        <v>187</v>
      </c>
      <c r="J6" s="27">
        <v>193</v>
      </c>
      <c r="K6" s="27">
        <v>190</v>
      </c>
      <c r="L6" s="27">
        <v>193</v>
      </c>
      <c r="M6" s="27">
        <v>182</v>
      </c>
      <c r="N6" s="28">
        <v>187</v>
      </c>
      <c r="O6" s="28">
        <v>187</v>
      </c>
      <c r="P6" s="28">
        <v>181</v>
      </c>
      <c r="Q6" s="1">
        <v>169</v>
      </c>
      <c r="R6" s="87">
        <v>165</v>
      </c>
      <c r="S6" s="87">
        <v>152</v>
      </c>
      <c r="T6" s="87">
        <v>151</v>
      </c>
      <c r="U6" s="87">
        <v>152</v>
      </c>
      <c r="V6" s="87">
        <v>163</v>
      </c>
      <c r="W6" s="87">
        <v>173</v>
      </c>
      <c r="X6" s="87">
        <v>173</v>
      </c>
      <c r="Y6" s="87">
        <v>173</v>
      </c>
      <c r="Z6" s="87">
        <v>170</v>
      </c>
      <c r="AA6" s="87">
        <v>173</v>
      </c>
      <c r="AB6" s="87">
        <v>148</v>
      </c>
      <c r="AC6" s="87">
        <v>146</v>
      </c>
      <c r="AD6" s="87">
        <v>155</v>
      </c>
      <c r="AE6" s="87">
        <v>140</v>
      </c>
      <c r="AF6" s="87">
        <v>136</v>
      </c>
      <c r="AG6" s="87">
        <v>135</v>
      </c>
      <c r="AH6" s="87">
        <v>135</v>
      </c>
      <c r="AI6" s="87">
        <v>131</v>
      </c>
      <c r="AJ6" s="87">
        <v>137</v>
      </c>
      <c r="AK6" s="87">
        <v>139</v>
      </c>
      <c r="AL6" s="87">
        <v>135</v>
      </c>
      <c r="AM6" s="87">
        <v>141</v>
      </c>
      <c r="AN6" s="87">
        <v>151</v>
      </c>
      <c r="AO6" s="87">
        <v>146</v>
      </c>
      <c r="AP6" s="87">
        <v>155</v>
      </c>
      <c r="AQ6" s="87">
        <v>159</v>
      </c>
      <c r="AR6" s="87">
        <v>128</v>
      </c>
      <c r="AS6" s="87">
        <v>126</v>
      </c>
      <c r="AT6" s="87">
        <v>138</v>
      </c>
      <c r="AU6" s="87">
        <v>123</v>
      </c>
      <c r="AV6" s="87">
        <v>161</v>
      </c>
      <c r="AW6" s="87">
        <v>138</v>
      </c>
      <c r="AX6" s="87">
        <v>140</v>
      </c>
      <c r="AY6" s="87">
        <v>138</v>
      </c>
      <c r="AZ6" s="87">
        <v>124</v>
      </c>
      <c r="BA6" s="87">
        <v>114</v>
      </c>
      <c r="BB6" s="87">
        <v>103</v>
      </c>
      <c r="BC6" s="87">
        <v>103</v>
      </c>
      <c r="BD6" s="87">
        <v>101</v>
      </c>
      <c r="BE6" s="87">
        <v>86</v>
      </c>
      <c r="BF6" s="87">
        <v>103</v>
      </c>
      <c r="BG6" s="87">
        <v>83</v>
      </c>
      <c r="BH6" s="87">
        <v>135</v>
      </c>
      <c r="BI6" s="87">
        <v>142</v>
      </c>
      <c r="BJ6" s="87">
        <v>144</v>
      </c>
      <c r="BK6" s="87">
        <v>133</v>
      </c>
      <c r="BL6" s="87">
        <v>142</v>
      </c>
      <c r="BM6" s="87">
        <v>153</v>
      </c>
      <c r="BN6" s="87">
        <v>148</v>
      </c>
      <c r="BO6" s="87">
        <v>145</v>
      </c>
      <c r="BP6" s="87">
        <v>150</v>
      </c>
      <c r="BQ6" s="28">
        <f t="shared" si="0"/>
        <v>49</v>
      </c>
      <c r="BR6" s="97">
        <f t="shared" si="1"/>
        <v>0.48514851485148514</v>
      </c>
      <c r="BS6" s="28">
        <f t="shared" si="2"/>
        <v>5</v>
      </c>
      <c r="BT6" s="97">
        <f t="shared" si="3"/>
        <v>3.4482758620689655E-2</v>
      </c>
      <c r="BU6" s="32" t="s">
        <v>56</v>
      </c>
      <c r="BV6" s="96"/>
    </row>
    <row r="7" spans="1:75" s="29" customFormat="1" x14ac:dyDescent="0.25">
      <c r="A7" s="32" t="s">
        <v>57</v>
      </c>
      <c r="B7" s="28">
        <v>1854</v>
      </c>
      <c r="C7" s="27">
        <v>1878</v>
      </c>
      <c r="D7" s="27">
        <v>1818</v>
      </c>
      <c r="E7" s="27">
        <v>1589</v>
      </c>
      <c r="F7" s="27">
        <v>1464</v>
      </c>
      <c r="G7" s="27">
        <v>1444</v>
      </c>
      <c r="H7" s="27">
        <v>1377</v>
      </c>
      <c r="I7" s="27">
        <v>1346</v>
      </c>
      <c r="J7" s="27">
        <v>1352</v>
      </c>
      <c r="K7" s="27">
        <v>1386</v>
      </c>
      <c r="L7" s="27">
        <v>1780</v>
      </c>
      <c r="M7" s="27">
        <v>1831</v>
      </c>
      <c r="N7" s="28">
        <v>1926</v>
      </c>
      <c r="O7" s="28">
        <v>1950</v>
      </c>
      <c r="P7" s="28">
        <v>1806</v>
      </c>
      <c r="Q7" s="1">
        <v>1589</v>
      </c>
      <c r="R7" s="87">
        <v>1422</v>
      </c>
      <c r="S7" s="87">
        <v>1377</v>
      </c>
      <c r="T7" s="87">
        <v>1338</v>
      </c>
      <c r="U7" s="87">
        <v>1343</v>
      </c>
      <c r="V7" s="87">
        <v>1372</v>
      </c>
      <c r="W7" s="87">
        <v>1439</v>
      </c>
      <c r="X7" s="87">
        <v>1856</v>
      </c>
      <c r="Y7" s="87">
        <v>1888</v>
      </c>
      <c r="Z7" s="87">
        <v>1921</v>
      </c>
      <c r="AA7" s="87">
        <v>1918</v>
      </c>
      <c r="AB7" s="87">
        <v>1819</v>
      </c>
      <c r="AC7" s="87">
        <v>1500</v>
      </c>
      <c r="AD7" s="87">
        <v>1361</v>
      </c>
      <c r="AE7" s="87">
        <v>1325</v>
      </c>
      <c r="AF7" s="87">
        <v>1267</v>
      </c>
      <c r="AG7" s="87">
        <v>1227</v>
      </c>
      <c r="AH7" s="87">
        <v>1208</v>
      </c>
      <c r="AI7" s="87">
        <v>1165</v>
      </c>
      <c r="AJ7" s="87">
        <v>1637</v>
      </c>
      <c r="AK7" s="87">
        <v>1700</v>
      </c>
      <c r="AL7" s="87">
        <v>1780</v>
      </c>
      <c r="AM7" s="87">
        <v>1744</v>
      </c>
      <c r="AN7" s="87">
        <v>1537</v>
      </c>
      <c r="AO7" s="87">
        <v>1223</v>
      </c>
      <c r="AP7" s="87">
        <v>1080</v>
      </c>
      <c r="AQ7" s="87">
        <v>1059</v>
      </c>
      <c r="AR7" s="87">
        <v>1034</v>
      </c>
      <c r="AS7" s="87">
        <v>990</v>
      </c>
      <c r="AT7" s="87">
        <v>964</v>
      </c>
      <c r="AU7" s="87">
        <v>917</v>
      </c>
      <c r="AV7" s="87">
        <v>1353</v>
      </c>
      <c r="AW7" s="87">
        <v>1399</v>
      </c>
      <c r="AX7" s="87">
        <v>1504</v>
      </c>
      <c r="AY7" s="87">
        <v>1484</v>
      </c>
      <c r="AZ7" s="87">
        <v>1315</v>
      </c>
      <c r="BA7" s="87">
        <v>998</v>
      </c>
      <c r="BB7" s="87">
        <v>825</v>
      </c>
      <c r="BC7" s="87">
        <v>805</v>
      </c>
      <c r="BD7" s="87">
        <v>842</v>
      </c>
      <c r="BE7" s="87">
        <v>791</v>
      </c>
      <c r="BF7" s="87">
        <v>790</v>
      </c>
      <c r="BG7" s="87">
        <v>836</v>
      </c>
      <c r="BH7" s="87">
        <v>1349</v>
      </c>
      <c r="BI7" s="87">
        <v>1421</v>
      </c>
      <c r="BJ7" s="87">
        <v>1464</v>
      </c>
      <c r="BK7" s="87">
        <v>1492</v>
      </c>
      <c r="BL7" s="87">
        <v>1510</v>
      </c>
      <c r="BM7" s="87">
        <v>1636</v>
      </c>
      <c r="BN7" s="87">
        <v>1707</v>
      </c>
      <c r="BO7" s="87">
        <v>1731</v>
      </c>
      <c r="BP7" s="87">
        <v>1707</v>
      </c>
      <c r="BQ7" s="28">
        <f t="shared" si="0"/>
        <v>865</v>
      </c>
      <c r="BR7" s="97">
        <f t="shared" si="1"/>
        <v>1.0273159144893111</v>
      </c>
      <c r="BS7" s="28">
        <f t="shared" si="2"/>
        <v>-24</v>
      </c>
      <c r="BT7" s="97">
        <f t="shared" si="3"/>
        <v>-1.3864818024263431E-2</v>
      </c>
      <c r="BU7" s="32" t="s">
        <v>57</v>
      </c>
    </row>
    <row r="8" spans="1:75" s="29" customFormat="1" ht="63" x14ac:dyDescent="0.25">
      <c r="A8" s="32" t="s">
        <v>58</v>
      </c>
      <c r="B8" s="28">
        <v>316</v>
      </c>
      <c r="C8" s="27">
        <v>333</v>
      </c>
      <c r="D8" s="27">
        <v>340</v>
      </c>
      <c r="E8" s="27">
        <v>355</v>
      </c>
      <c r="F8" s="27">
        <v>396</v>
      </c>
      <c r="G8" s="27">
        <v>419</v>
      </c>
      <c r="H8" s="27">
        <v>458</v>
      </c>
      <c r="I8" s="27">
        <v>502</v>
      </c>
      <c r="J8" s="27">
        <v>565</v>
      </c>
      <c r="K8" s="27">
        <v>607</v>
      </c>
      <c r="L8" s="27">
        <v>680</v>
      </c>
      <c r="M8" s="27">
        <v>734</v>
      </c>
      <c r="N8" s="28">
        <v>832</v>
      </c>
      <c r="O8" s="28">
        <v>888</v>
      </c>
      <c r="P8" s="28">
        <v>952</v>
      </c>
      <c r="Q8" s="1">
        <v>1004</v>
      </c>
      <c r="R8" s="87">
        <v>1059</v>
      </c>
      <c r="S8" s="87">
        <v>1097</v>
      </c>
      <c r="T8" s="87">
        <v>1140</v>
      </c>
      <c r="U8" s="87">
        <v>1298</v>
      </c>
      <c r="V8" s="87">
        <v>1376</v>
      </c>
      <c r="W8" s="87">
        <v>1437</v>
      </c>
      <c r="X8" s="87">
        <v>1485</v>
      </c>
      <c r="Y8" s="87">
        <v>1502</v>
      </c>
      <c r="Z8" s="87">
        <v>1544</v>
      </c>
      <c r="AA8" s="87">
        <v>1559</v>
      </c>
      <c r="AB8" s="87">
        <v>1575</v>
      </c>
      <c r="AC8" s="87">
        <v>1552</v>
      </c>
      <c r="AD8" s="87">
        <v>1574</v>
      </c>
      <c r="AE8" s="87">
        <v>1573</v>
      </c>
      <c r="AF8" s="87">
        <v>1590</v>
      </c>
      <c r="AG8" s="87">
        <v>1630</v>
      </c>
      <c r="AH8" s="87">
        <v>1583</v>
      </c>
      <c r="AI8" s="87">
        <v>1523</v>
      </c>
      <c r="AJ8" s="87">
        <v>1501</v>
      </c>
      <c r="AK8" s="87">
        <v>1465</v>
      </c>
      <c r="AL8" s="87">
        <v>1470</v>
      </c>
      <c r="AM8" s="87">
        <v>1420</v>
      </c>
      <c r="AN8" s="87">
        <v>1387</v>
      </c>
      <c r="AO8" s="87">
        <v>1382</v>
      </c>
      <c r="AP8" s="87">
        <v>1336</v>
      </c>
      <c r="AQ8" s="87">
        <v>1215</v>
      </c>
      <c r="AR8" s="87">
        <v>1109</v>
      </c>
      <c r="AS8" s="87">
        <v>1042</v>
      </c>
      <c r="AT8" s="87">
        <v>945</v>
      </c>
      <c r="AU8" s="87">
        <v>851</v>
      </c>
      <c r="AV8" s="87">
        <v>824</v>
      </c>
      <c r="AW8" s="87">
        <v>767</v>
      </c>
      <c r="AX8" s="87">
        <v>765</v>
      </c>
      <c r="AY8" s="87">
        <v>719</v>
      </c>
      <c r="AZ8" s="87">
        <v>655</v>
      </c>
      <c r="BA8" s="87">
        <v>623</v>
      </c>
      <c r="BB8" s="87">
        <v>567</v>
      </c>
      <c r="BC8" s="87">
        <v>525</v>
      </c>
      <c r="BD8" s="87">
        <v>509</v>
      </c>
      <c r="BE8" s="87">
        <v>486</v>
      </c>
      <c r="BF8" s="87">
        <v>497</v>
      </c>
      <c r="BG8" s="87">
        <v>475</v>
      </c>
      <c r="BH8" s="87">
        <v>476</v>
      </c>
      <c r="BI8" s="87">
        <v>465</v>
      </c>
      <c r="BJ8" s="87">
        <v>490</v>
      </c>
      <c r="BK8" s="87">
        <v>480</v>
      </c>
      <c r="BL8" s="87">
        <v>504</v>
      </c>
      <c r="BM8" s="87">
        <v>519</v>
      </c>
      <c r="BN8" s="87">
        <v>521</v>
      </c>
      <c r="BO8" s="87">
        <v>510</v>
      </c>
      <c r="BP8" s="87">
        <v>503</v>
      </c>
      <c r="BQ8" s="28">
        <f t="shared" si="0"/>
        <v>-6</v>
      </c>
      <c r="BR8" s="97">
        <f t="shared" si="1"/>
        <v>-1.1787819253438114E-2</v>
      </c>
      <c r="BS8" s="28">
        <f t="shared" si="2"/>
        <v>-7</v>
      </c>
      <c r="BT8" s="97">
        <f t="shared" si="3"/>
        <v>-1.3725490196078431E-2</v>
      </c>
      <c r="BU8" s="32" t="s">
        <v>58</v>
      </c>
    </row>
    <row r="9" spans="1:75" s="29" customFormat="1" ht="47.25" x14ac:dyDescent="0.25">
      <c r="A9" s="32" t="s">
        <v>59</v>
      </c>
      <c r="B9" s="28">
        <v>126</v>
      </c>
      <c r="C9" s="27">
        <v>135</v>
      </c>
      <c r="D9" s="27">
        <v>134</v>
      </c>
      <c r="E9" s="27">
        <v>138</v>
      </c>
      <c r="F9" s="27">
        <v>137</v>
      </c>
      <c r="G9" s="27">
        <v>142</v>
      </c>
      <c r="H9" s="27">
        <v>147</v>
      </c>
      <c r="I9" s="27">
        <v>146</v>
      </c>
      <c r="J9" s="27">
        <v>146</v>
      </c>
      <c r="K9" s="27">
        <v>136</v>
      </c>
      <c r="L9" s="27">
        <v>162</v>
      </c>
      <c r="M9" s="27">
        <v>171</v>
      </c>
      <c r="N9" s="28">
        <v>173</v>
      </c>
      <c r="O9" s="28">
        <v>169</v>
      </c>
      <c r="P9" s="28">
        <v>167</v>
      </c>
      <c r="Q9" s="1">
        <v>174</v>
      </c>
      <c r="R9" s="87">
        <v>178</v>
      </c>
      <c r="S9" s="87">
        <v>172</v>
      </c>
      <c r="T9" s="87">
        <v>159</v>
      </c>
      <c r="U9" s="87">
        <v>181</v>
      </c>
      <c r="V9" s="87">
        <v>202</v>
      </c>
      <c r="W9" s="87">
        <v>218</v>
      </c>
      <c r="X9" s="87">
        <v>224</v>
      </c>
      <c r="Y9" s="87">
        <v>222</v>
      </c>
      <c r="Z9" s="87">
        <v>230</v>
      </c>
      <c r="AA9" s="87">
        <v>238</v>
      </c>
      <c r="AB9" s="87">
        <v>240</v>
      </c>
      <c r="AC9" s="87">
        <v>232</v>
      </c>
      <c r="AD9" s="87">
        <v>224</v>
      </c>
      <c r="AE9" s="87">
        <v>241</v>
      </c>
      <c r="AF9" s="87">
        <v>242</v>
      </c>
      <c r="AG9" s="87">
        <v>230</v>
      </c>
      <c r="AH9" s="87">
        <v>249</v>
      </c>
      <c r="AI9" s="87">
        <v>263</v>
      </c>
      <c r="AJ9" s="87">
        <v>275</v>
      </c>
      <c r="AK9" s="87">
        <v>281</v>
      </c>
      <c r="AL9" s="87">
        <v>262</v>
      </c>
      <c r="AM9" s="87">
        <v>260</v>
      </c>
      <c r="AN9" s="87">
        <v>250</v>
      </c>
      <c r="AO9" s="87">
        <v>245</v>
      </c>
      <c r="AP9" s="87">
        <v>231</v>
      </c>
      <c r="AQ9" s="87">
        <v>228</v>
      </c>
      <c r="AR9" s="87">
        <v>218</v>
      </c>
      <c r="AS9" s="87">
        <v>212</v>
      </c>
      <c r="AT9" s="87">
        <v>213</v>
      </c>
      <c r="AU9" s="87">
        <v>191</v>
      </c>
      <c r="AV9" s="87">
        <v>196</v>
      </c>
      <c r="AW9" s="87">
        <v>185</v>
      </c>
      <c r="AX9" s="87">
        <v>186</v>
      </c>
      <c r="AY9" s="87">
        <v>187</v>
      </c>
      <c r="AZ9" s="87">
        <v>182</v>
      </c>
      <c r="BA9" s="87">
        <v>163</v>
      </c>
      <c r="BB9" s="87">
        <v>156</v>
      </c>
      <c r="BC9" s="87">
        <v>138</v>
      </c>
      <c r="BD9" s="87">
        <v>131</v>
      </c>
      <c r="BE9" s="87">
        <v>124</v>
      </c>
      <c r="BF9" s="87">
        <v>122</v>
      </c>
      <c r="BG9" s="87">
        <v>125</v>
      </c>
      <c r="BH9" s="87">
        <v>142</v>
      </c>
      <c r="BI9" s="87">
        <v>123</v>
      </c>
      <c r="BJ9" s="87">
        <v>115</v>
      </c>
      <c r="BK9" s="87">
        <v>116</v>
      </c>
      <c r="BL9" s="87">
        <v>122</v>
      </c>
      <c r="BM9" s="87">
        <v>132</v>
      </c>
      <c r="BN9" s="87">
        <v>137</v>
      </c>
      <c r="BO9" s="87">
        <v>137</v>
      </c>
      <c r="BP9" s="87">
        <v>142</v>
      </c>
      <c r="BQ9" s="28">
        <f t="shared" si="0"/>
        <v>11</v>
      </c>
      <c r="BR9" s="97">
        <f t="shared" si="1"/>
        <v>8.3969465648854963E-2</v>
      </c>
      <c r="BS9" s="28">
        <f t="shared" si="2"/>
        <v>5</v>
      </c>
      <c r="BT9" s="97">
        <f t="shared" si="3"/>
        <v>3.6496350364963501E-2</v>
      </c>
      <c r="BU9" s="32" t="s">
        <v>59</v>
      </c>
    </row>
    <row r="10" spans="1:75" x14ac:dyDescent="0.25">
      <c r="A10" s="35" t="s">
        <v>12</v>
      </c>
      <c r="B10" s="27">
        <f t="shared" ref="B10:D10" si="4">SUM(B3:B9)</f>
        <v>50039</v>
      </c>
      <c r="C10" s="27">
        <f t="shared" si="4"/>
        <v>50240</v>
      </c>
      <c r="D10" s="27">
        <f t="shared" si="4"/>
        <v>47833</v>
      </c>
      <c r="E10" s="27">
        <f t="shared" ref="E10:J10" si="5">SUM(E3:E9)</f>
        <v>42551</v>
      </c>
      <c r="F10" s="27">
        <f t="shared" si="5"/>
        <v>39672</v>
      </c>
      <c r="G10" s="27">
        <f t="shared" si="5"/>
        <v>40876</v>
      </c>
      <c r="H10" s="27">
        <f t="shared" si="5"/>
        <v>42176</v>
      </c>
      <c r="I10" s="27">
        <f t="shared" si="5"/>
        <v>40988</v>
      </c>
      <c r="J10" s="27">
        <f t="shared" si="5"/>
        <v>38365</v>
      </c>
      <c r="K10" s="27">
        <f>SUM(K3:K9)</f>
        <v>37016</v>
      </c>
      <c r="L10" s="27">
        <f>SUM(L3:L9)</f>
        <v>43602</v>
      </c>
      <c r="M10" s="27">
        <f>SUM(M3:M9)</f>
        <v>44550</v>
      </c>
      <c r="N10" s="27">
        <f t="shared" ref="N10:P10" si="6">SUM(N3:N9)</f>
        <v>45969</v>
      </c>
      <c r="O10" s="27">
        <f t="shared" si="6"/>
        <v>45961</v>
      </c>
      <c r="P10" s="27">
        <f t="shared" si="6"/>
        <v>42783</v>
      </c>
      <c r="Q10" s="27">
        <f t="shared" ref="Q10:W10" si="7">SUM(Q3:Q9)</f>
        <v>36986</v>
      </c>
      <c r="R10" s="27">
        <f t="shared" si="7"/>
        <v>34047</v>
      </c>
      <c r="S10" s="27">
        <f t="shared" si="7"/>
        <v>35265</v>
      </c>
      <c r="T10" s="27">
        <f t="shared" si="7"/>
        <v>36112</v>
      </c>
      <c r="U10" s="27">
        <f t="shared" si="7"/>
        <v>35786</v>
      </c>
      <c r="V10" s="27">
        <f t="shared" si="7"/>
        <v>34007</v>
      </c>
      <c r="W10" s="27">
        <f t="shared" si="7"/>
        <v>33706</v>
      </c>
      <c r="X10" s="27">
        <f t="shared" ref="X10:AD10" si="8">SUM(X3:X9)</f>
        <v>40646</v>
      </c>
      <c r="Y10" s="27">
        <f t="shared" si="8"/>
        <v>41852</v>
      </c>
      <c r="Z10" s="27">
        <f t="shared" si="8"/>
        <v>42838</v>
      </c>
      <c r="AA10" s="27">
        <f t="shared" si="8"/>
        <v>42326</v>
      </c>
      <c r="AB10" s="27">
        <f t="shared" si="8"/>
        <v>39088</v>
      </c>
      <c r="AC10" s="27">
        <f t="shared" si="8"/>
        <v>32804</v>
      </c>
      <c r="AD10" s="27">
        <f t="shared" si="8"/>
        <v>29922</v>
      </c>
      <c r="AE10" s="27">
        <f t="shared" ref="AE10:BP10" si="9">SUM(AE3:AE9)</f>
        <v>30577</v>
      </c>
      <c r="AF10" s="27">
        <f t="shared" si="9"/>
        <v>31670</v>
      </c>
      <c r="AG10" s="27">
        <f t="shared" si="9"/>
        <v>31003</v>
      </c>
      <c r="AH10" s="27">
        <f t="shared" si="9"/>
        <v>27951</v>
      </c>
      <c r="AI10" s="27">
        <f t="shared" si="9"/>
        <v>26436</v>
      </c>
      <c r="AJ10" s="27">
        <f t="shared" si="9"/>
        <v>33780</v>
      </c>
      <c r="AK10" s="27">
        <f t="shared" si="9"/>
        <v>35771</v>
      </c>
      <c r="AL10" s="27">
        <f t="shared" si="9"/>
        <v>35989</v>
      </c>
      <c r="AM10" s="27">
        <f t="shared" si="9"/>
        <v>34204</v>
      </c>
      <c r="AN10" s="27">
        <f t="shared" si="9"/>
        <v>30616</v>
      </c>
      <c r="AO10" s="27">
        <f t="shared" si="9"/>
        <v>24903</v>
      </c>
      <c r="AP10" s="27">
        <f t="shared" si="9"/>
        <v>22839</v>
      </c>
      <c r="AQ10" s="27">
        <f>SUM(AQ3:AQ9)</f>
        <v>23808</v>
      </c>
      <c r="AR10" s="27">
        <f t="shared" si="9"/>
        <v>24803</v>
      </c>
      <c r="AS10" s="27">
        <f t="shared" si="9"/>
        <v>23866</v>
      </c>
      <c r="AT10" s="27">
        <f t="shared" si="9"/>
        <v>21399</v>
      </c>
      <c r="AU10" s="27">
        <f t="shared" si="9"/>
        <v>20447</v>
      </c>
      <c r="AV10" s="27">
        <f t="shared" si="9"/>
        <v>28514</v>
      </c>
      <c r="AW10" s="27">
        <f t="shared" si="9"/>
        <v>29800</v>
      </c>
      <c r="AX10" s="27">
        <f t="shared" si="9"/>
        <v>30951</v>
      </c>
      <c r="AY10" s="27">
        <f t="shared" si="9"/>
        <v>29751</v>
      </c>
      <c r="AZ10" s="27">
        <f t="shared" si="9"/>
        <v>26508</v>
      </c>
      <c r="BA10" s="27">
        <f t="shared" si="9"/>
        <v>20315</v>
      </c>
      <c r="BB10" s="27">
        <f t="shared" si="9"/>
        <v>17607</v>
      </c>
      <c r="BC10" s="27">
        <f t="shared" si="9"/>
        <v>18960</v>
      </c>
      <c r="BD10" s="27">
        <f t="shared" si="9"/>
        <v>20582</v>
      </c>
      <c r="BE10" s="27">
        <f t="shared" si="9"/>
        <v>19883</v>
      </c>
      <c r="BF10" s="27">
        <f t="shared" si="9"/>
        <v>16968</v>
      </c>
      <c r="BG10" s="27">
        <f t="shared" si="9"/>
        <v>16544</v>
      </c>
      <c r="BH10" s="27">
        <f t="shared" si="9"/>
        <v>24495</v>
      </c>
      <c r="BI10" s="27">
        <f t="shared" si="9"/>
        <v>25285</v>
      </c>
      <c r="BJ10" s="27">
        <f t="shared" si="9"/>
        <v>26214</v>
      </c>
      <c r="BK10" s="27">
        <f t="shared" si="9"/>
        <v>25620</v>
      </c>
      <c r="BL10" s="27">
        <f t="shared" si="9"/>
        <v>26353</v>
      </c>
      <c r="BM10" s="27">
        <f t="shared" si="9"/>
        <v>28591</v>
      </c>
      <c r="BN10" s="27">
        <f t="shared" si="9"/>
        <v>29604</v>
      </c>
      <c r="BO10" s="27">
        <f t="shared" si="9"/>
        <v>31158</v>
      </c>
      <c r="BP10" s="27">
        <f t="shared" si="9"/>
        <v>32313</v>
      </c>
      <c r="BQ10" s="28">
        <f t="shared" si="0"/>
        <v>11731</v>
      </c>
      <c r="BR10" s="97">
        <f t="shared" si="1"/>
        <v>0.56996404625400832</v>
      </c>
      <c r="BS10" s="28">
        <f t="shared" si="2"/>
        <v>1155</v>
      </c>
      <c r="BT10" s="97">
        <f t="shared" si="3"/>
        <v>3.7069131523204311E-2</v>
      </c>
      <c r="BU10" s="27"/>
    </row>
    <row r="11" spans="1:75" x14ac:dyDescent="0.25">
      <c r="A11" s="26"/>
      <c r="BS11" s="37"/>
      <c r="BT11" s="99"/>
    </row>
    <row r="12" spans="1:75" x14ac:dyDescent="0.25">
      <c r="E12" s="58" t="s">
        <v>82</v>
      </c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</row>
    <row r="13" spans="1:75" x14ac:dyDescent="0.25"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</row>
    <row r="14" spans="1:75" x14ac:dyDescent="0.25">
      <c r="AO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</row>
    <row r="15" spans="1:75" x14ac:dyDescent="0.25">
      <c r="AO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</row>
    <row r="16" spans="1:75" x14ac:dyDescent="0.25">
      <c r="C16" s="22"/>
      <c r="D16" s="37"/>
      <c r="E16" s="38"/>
      <c r="F16" s="38"/>
      <c r="G16" s="38"/>
      <c r="H16" s="38"/>
      <c r="I16" s="38"/>
      <c r="J16" s="38"/>
      <c r="K16" s="38"/>
      <c r="L16" s="38"/>
      <c r="M16" s="38"/>
      <c r="AO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39"/>
      <c r="BR16" s="39"/>
    </row>
    <row r="17" spans="3:70" x14ac:dyDescent="0.25">
      <c r="C17" s="22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</row>
    <row r="18" spans="3:70" x14ac:dyDescent="0.25">
      <c r="C18" s="22"/>
      <c r="D18" s="38"/>
      <c r="E18" s="38"/>
      <c r="F18" s="38"/>
      <c r="G18" s="38"/>
      <c r="H18" s="38"/>
      <c r="I18" s="38"/>
      <c r="J18" s="38"/>
      <c r="K18" s="38"/>
      <c r="L18" s="38"/>
      <c r="M18" s="38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39"/>
      <c r="BR18" s="39"/>
    </row>
    <row r="19" spans="3:70" x14ac:dyDescent="0.25">
      <c r="C19" s="22"/>
    </row>
    <row r="21" spans="3:70" x14ac:dyDescent="0.25">
      <c r="C21" s="22"/>
    </row>
    <row r="22" spans="3:70" x14ac:dyDescent="0.25">
      <c r="C22" s="22"/>
    </row>
    <row r="23" spans="3:70" x14ac:dyDescent="0.25">
      <c r="C23" s="22"/>
    </row>
    <row r="24" spans="3:70" x14ac:dyDescent="0.25">
      <c r="C24" s="22"/>
    </row>
    <row r="25" spans="3:70" x14ac:dyDescent="0.25">
      <c r="C25" s="22"/>
    </row>
    <row r="26" spans="3:70" x14ac:dyDescent="0.25">
      <c r="C26" s="22"/>
    </row>
    <row r="27" spans="3:70" x14ac:dyDescent="0.25">
      <c r="C27" s="22"/>
    </row>
    <row r="28" spans="3:70" x14ac:dyDescent="0.25">
      <c r="C28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topLeftCell="AA1" zoomScale="73" zoomScaleNormal="73" workbookViewId="0">
      <selection activeCell="AR3" sqref="AR3"/>
    </sheetView>
  </sheetViews>
  <sheetFormatPr defaultRowHeight="15" x14ac:dyDescent="0.25"/>
  <cols>
    <col min="1" max="1" width="34.7109375" bestFit="1" customWidth="1"/>
    <col min="2" max="4" width="13.28515625" style="65" customWidth="1"/>
    <col min="5" max="6" width="11.28515625" style="65" customWidth="1"/>
    <col min="7" max="7" width="10.140625" style="65" customWidth="1"/>
    <col min="8" max="8" width="11.42578125" style="65" customWidth="1"/>
    <col min="9" max="9" width="12.42578125" style="65" customWidth="1"/>
    <col min="10" max="10" width="12.5703125" style="65" customWidth="1"/>
    <col min="11" max="15" width="13.28515625" style="65" customWidth="1"/>
    <col min="16" max="16" width="11.7109375" style="65" customWidth="1"/>
    <col min="17" max="17" width="10.42578125" style="65" customWidth="1"/>
    <col min="18" max="18" width="11.140625" style="65" customWidth="1"/>
    <col min="19" max="20" width="11.42578125" style="65" customWidth="1"/>
    <col min="21" max="44" width="13.28515625" style="65" customWidth="1"/>
  </cols>
  <sheetData>
    <row r="1" spans="1:50" ht="15.75" x14ac:dyDescent="0.25">
      <c r="A1" s="75"/>
      <c r="B1" s="65">
        <v>2017</v>
      </c>
      <c r="K1" s="65">
        <v>2017</v>
      </c>
      <c r="Z1" s="65">
        <v>2019</v>
      </c>
      <c r="AF1" s="65">
        <v>2019</v>
      </c>
      <c r="AL1" s="65">
        <v>2020</v>
      </c>
    </row>
    <row r="2" spans="1:50" ht="15.75" x14ac:dyDescent="0.25">
      <c r="A2" s="71"/>
      <c r="B2" s="24" t="s">
        <v>0</v>
      </c>
      <c r="C2" s="24" t="s">
        <v>1</v>
      </c>
      <c r="D2" s="24" t="s">
        <v>2</v>
      </c>
      <c r="E2" s="25" t="s">
        <v>3</v>
      </c>
      <c r="F2" s="24" t="s">
        <v>4</v>
      </c>
      <c r="G2" s="25" t="s">
        <v>5</v>
      </c>
      <c r="H2" s="25" t="s">
        <v>6</v>
      </c>
      <c r="I2" s="25" t="s">
        <v>7</v>
      </c>
      <c r="J2" s="24" t="s">
        <v>8</v>
      </c>
      <c r="K2" s="25" t="s">
        <v>9</v>
      </c>
      <c r="L2" s="24" t="s">
        <v>10</v>
      </c>
      <c r="M2" s="24" t="s">
        <v>11</v>
      </c>
      <c r="N2" s="24" t="s">
        <v>0</v>
      </c>
      <c r="O2" s="25" t="s">
        <v>1</v>
      </c>
      <c r="P2" s="24" t="s">
        <v>2</v>
      </c>
      <c r="Q2" s="25" t="s">
        <v>3</v>
      </c>
      <c r="R2" s="24" t="s">
        <v>4</v>
      </c>
      <c r="S2" s="25" t="s">
        <v>5</v>
      </c>
      <c r="T2" s="25" t="s">
        <v>6</v>
      </c>
      <c r="U2" s="25" t="s">
        <v>7</v>
      </c>
      <c r="V2" s="24" t="s">
        <v>8</v>
      </c>
      <c r="W2" s="25" t="s">
        <v>9</v>
      </c>
      <c r="X2" s="24" t="s">
        <v>10</v>
      </c>
      <c r="Y2" s="24" t="s">
        <v>11</v>
      </c>
      <c r="Z2" s="24" t="s">
        <v>0</v>
      </c>
      <c r="AA2" s="25" t="s">
        <v>1</v>
      </c>
      <c r="AB2" s="24" t="s">
        <v>2</v>
      </c>
      <c r="AC2" s="25" t="s">
        <v>3</v>
      </c>
      <c r="AD2" s="24" t="s">
        <v>4</v>
      </c>
      <c r="AE2" s="25" t="s">
        <v>5</v>
      </c>
      <c r="AF2" s="25" t="s">
        <v>6</v>
      </c>
      <c r="AG2" s="25" t="s">
        <v>7</v>
      </c>
      <c r="AH2" s="24" t="s">
        <v>8</v>
      </c>
      <c r="AI2" s="25" t="s">
        <v>9</v>
      </c>
      <c r="AJ2" s="24" t="s">
        <v>10</v>
      </c>
      <c r="AK2" s="24" t="s">
        <v>11</v>
      </c>
      <c r="AL2" s="24" t="s">
        <v>0</v>
      </c>
      <c r="AM2" s="25" t="s">
        <v>1</v>
      </c>
      <c r="AN2" s="24" t="s">
        <v>2</v>
      </c>
      <c r="AO2" s="25" t="s">
        <v>3</v>
      </c>
      <c r="AP2" s="24" t="s">
        <v>4</v>
      </c>
      <c r="AQ2" s="25" t="s">
        <v>5</v>
      </c>
      <c r="AR2" s="25" t="s">
        <v>6</v>
      </c>
    </row>
    <row r="3" spans="1:50" ht="15.75" x14ac:dyDescent="0.25">
      <c r="A3" s="72" t="s">
        <v>60</v>
      </c>
      <c r="B3" s="26">
        <v>151</v>
      </c>
      <c r="C3" s="26">
        <v>146</v>
      </c>
      <c r="D3" s="26">
        <v>150</v>
      </c>
      <c r="E3" s="26">
        <v>129</v>
      </c>
      <c r="F3" s="26">
        <v>114</v>
      </c>
      <c r="G3" s="26">
        <v>111</v>
      </c>
      <c r="H3" s="26">
        <v>105</v>
      </c>
      <c r="I3" s="26">
        <v>115</v>
      </c>
      <c r="J3" s="26">
        <v>105</v>
      </c>
      <c r="K3" s="26">
        <v>105</v>
      </c>
      <c r="L3" s="26">
        <v>128</v>
      </c>
      <c r="M3" s="26">
        <v>121</v>
      </c>
      <c r="N3" s="26">
        <v>125</v>
      </c>
      <c r="O3" s="26">
        <v>119</v>
      </c>
      <c r="P3" s="26">
        <v>107</v>
      </c>
      <c r="Q3" s="26">
        <v>104</v>
      </c>
      <c r="R3" s="26">
        <v>98</v>
      </c>
      <c r="S3" s="26">
        <v>97</v>
      </c>
      <c r="T3" s="26">
        <v>80</v>
      </c>
      <c r="U3" s="26">
        <v>78</v>
      </c>
      <c r="V3" s="26">
        <v>82</v>
      </c>
      <c r="W3" s="26">
        <v>87</v>
      </c>
      <c r="X3" s="26">
        <v>127</v>
      </c>
      <c r="Y3" s="26">
        <v>130</v>
      </c>
      <c r="Z3" s="26">
        <v>124</v>
      </c>
      <c r="AA3" s="26">
        <v>110</v>
      </c>
      <c r="AB3" s="26">
        <v>108</v>
      </c>
      <c r="AC3" s="26">
        <v>85</v>
      </c>
      <c r="AD3" s="26">
        <v>76</v>
      </c>
      <c r="AE3" s="26">
        <v>73</v>
      </c>
      <c r="AF3" s="26">
        <v>75</v>
      </c>
      <c r="AG3" s="26">
        <v>79</v>
      </c>
      <c r="AH3" s="26">
        <v>79</v>
      </c>
      <c r="AI3" s="26">
        <v>70</v>
      </c>
      <c r="AJ3" s="26">
        <v>122</v>
      </c>
      <c r="AK3" s="26">
        <v>138</v>
      </c>
      <c r="AL3" s="26">
        <v>160</v>
      </c>
      <c r="AM3" s="26">
        <v>159</v>
      </c>
      <c r="AN3" s="26">
        <v>158</v>
      </c>
      <c r="AO3" s="26">
        <v>175</v>
      </c>
      <c r="AP3" s="26">
        <v>182</v>
      </c>
      <c r="AQ3" s="26">
        <v>183</v>
      </c>
      <c r="AR3" s="26">
        <v>192</v>
      </c>
      <c r="AS3" s="72" t="s">
        <v>60</v>
      </c>
      <c r="AW3" s="2"/>
      <c r="AX3" s="95"/>
    </row>
    <row r="4" spans="1:50" ht="15.75" x14ac:dyDescent="0.25">
      <c r="A4" s="72" t="s">
        <v>65</v>
      </c>
      <c r="B4" s="26">
        <v>10311</v>
      </c>
      <c r="C4" s="26">
        <v>10079</v>
      </c>
      <c r="D4" s="26">
        <v>8934</v>
      </c>
      <c r="E4" s="26">
        <v>7123</v>
      </c>
      <c r="F4" s="26">
        <v>6279</v>
      </c>
      <c r="G4" s="26">
        <v>5998</v>
      </c>
      <c r="H4" s="26">
        <v>5942</v>
      </c>
      <c r="I4" s="26">
        <v>5734</v>
      </c>
      <c r="J4" s="26">
        <v>5485</v>
      </c>
      <c r="K4" s="26">
        <v>5519</v>
      </c>
      <c r="L4" s="26">
        <v>8144</v>
      </c>
      <c r="M4" s="26">
        <v>8902</v>
      </c>
      <c r="N4" s="26">
        <v>8961</v>
      </c>
      <c r="O4" s="26">
        <v>8417</v>
      </c>
      <c r="P4" s="26">
        <v>7121</v>
      </c>
      <c r="Q4" s="26">
        <v>5336</v>
      </c>
      <c r="R4" s="26">
        <v>4630</v>
      </c>
      <c r="S4" s="26">
        <v>4328</v>
      </c>
      <c r="T4" s="26">
        <v>4153</v>
      </c>
      <c r="U4" s="26">
        <v>3863</v>
      </c>
      <c r="V4" s="26">
        <v>3739</v>
      </c>
      <c r="W4" s="26">
        <v>3750</v>
      </c>
      <c r="X4" s="26">
        <v>6933</v>
      </c>
      <c r="Y4" s="26">
        <v>7480</v>
      </c>
      <c r="Z4" s="26">
        <v>7838</v>
      </c>
      <c r="AA4" s="26">
        <v>7436</v>
      </c>
      <c r="AB4" s="26">
        <v>6050</v>
      </c>
      <c r="AC4" s="26">
        <v>3982</v>
      </c>
      <c r="AD4" s="26">
        <v>3032</v>
      </c>
      <c r="AE4" s="26">
        <v>2834</v>
      </c>
      <c r="AF4" s="26">
        <v>2826</v>
      </c>
      <c r="AG4" s="26">
        <v>2676</v>
      </c>
      <c r="AH4" s="26">
        <v>2678</v>
      </c>
      <c r="AI4" s="26">
        <v>2970</v>
      </c>
      <c r="AJ4" s="26">
        <v>6273</v>
      </c>
      <c r="AK4" s="26">
        <v>6813</v>
      </c>
      <c r="AL4" s="26">
        <v>7106</v>
      </c>
      <c r="AM4" s="26">
        <v>6812</v>
      </c>
      <c r="AN4" s="26">
        <v>6802</v>
      </c>
      <c r="AO4" s="26">
        <v>7330</v>
      </c>
      <c r="AP4" s="26">
        <v>7409</v>
      </c>
      <c r="AQ4" s="26">
        <v>7247</v>
      </c>
      <c r="AR4" s="26">
        <v>7056</v>
      </c>
      <c r="AS4" s="72" t="s">
        <v>65</v>
      </c>
      <c r="AW4" s="2"/>
      <c r="AX4" s="95"/>
    </row>
    <row r="5" spans="1:50" s="4" customFormat="1" ht="15.75" x14ac:dyDescent="0.25">
      <c r="A5" s="78" t="s">
        <v>64</v>
      </c>
      <c r="B5" s="81">
        <f t="shared" ref="B5:F5" si="0">SUM(B3:B4)</f>
        <v>10462</v>
      </c>
      <c r="C5" s="81">
        <f t="shared" si="0"/>
        <v>10225</v>
      </c>
      <c r="D5" s="81">
        <f t="shared" si="0"/>
        <v>9084</v>
      </c>
      <c r="E5" s="81">
        <f t="shared" si="0"/>
        <v>7252</v>
      </c>
      <c r="F5" s="81">
        <f t="shared" si="0"/>
        <v>6393</v>
      </c>
      <c r="G5" s="81">
        <f t="shared" ref="G5:AG5" si="1">G3+G4</f>
        <v>6109</v>
      </c>
      <c r="H5" s="81">
        <f t="shared" si="1"/>
        <v>6047</v>
      </c>
      <c r="I5" s="81">
        <f t="shared" si="1"/>
        <v>5849</v>
      </c>
      <c r="J5" s="81">
        <f t="shared" si="1"/>
        <v>5590</v>
      </c>
      <c r="K5" s="81">
        <f t="shared" si="1"/>
        <v>5624</v>
      </c>
      <c r="L5" s="81">
        <f t="shared" si="1"/>
        <v>8272</v>
      </c>
      <c r="M5" s="81">
        <f t="shared" si="1"/>
        <v>9023</v>
      </c>
      <c r="N5" s="81">
        <f t="shared" si="1"/>
        <v>9086</v>
      </c>
      <c r="O5" s="81">
        <f t="shared" si="1"/>
        <v>8536</v>
      </c>
      <c r="P5" s="81">
        <f t="shared" si="1"/>
        <v>7228</v>
      </c>
      <c r="Q5" s="81">
        <f t="shared" si="1"/>
        <v>5440</v>
      </c>
      <c r="R5" s="81">
        <f t="shared" si="1"/>
        <v>4728</v>
      </c>
      <c r="S5" s="81">
        <f t="shared" si="1"/>
        <v>4425</v>
      </c>
      <c r="T5" s="81">
        <f t="shared" si="1"/>
        <v>4233</v>
      </c>
      <c r="U5" s="81">
        <f t="shared" si="1"/>
        <v>3941</v>
      </c>
      <c r="V5" s="81">
        <f t="shared" si="1"/>
        <v>3821</v>
      </c>
      <c r="W5" s="81">
        <f t="shared" si="1"/>
        <v>3837</v>
      </c>
      <c r="X5" s="81">
        <f t="shared" si="1"/>
        <v>7060</v>
      </c>
      <c r="Y5" s="81">
        <f t="shared" si="1"/>
        <v>7610</v>
      </c>
      <c r="Z5" s="81">
        <f t="shared" si="1"/>
        <v>7962</v>
      </c>
      <c r="AA5" s="81">
        <f t="shared" si="1"/>
        <v>7546</v>
      </c>
      <c r="AB5" s="81">
        <f t="shared" si="1"/>
        <v>6158</v>
      </c>
      <c r="AC5" s="81">
        <f t="shared" si="1"/>
        <v>4067</v>
      </c>
      <c r="AD5" s="81">
        <f t="shared" si="1"/>
        <v>3108</v>
      </c>
      <c r="AE5" s="81">
        <f t="shared" si="1"/>
        <v>2907</v>
      </c>
      <c r="AF5" s="81">
        <f t="shared" si="1"/>
        <v>2901</v>
      </c>
      <c r="AG5" s="81">
        <f t="shared" si="1"/>
        <v>2755</v>
      </c>
      <c r="AH5" s="81">
        <f t="shared" ref="AH5:AR5" si="2">AH3+AH4</f>
        <v>2757</v>
      </c>
      <c r="AI5" s="81">
        <f t="shared" si="2"/>
        <v>3040</v>
      </c>
      <c r="AJ5" s="81">
        <f t="shared" si="2"/>
        <v>6395</v>
      </c>
      <c r="AK5" s="81">
        <f t="shared" si="2"/>
        <v>6951</v>
      </c>
      <c r="AL5" s="81">
        <f t="shared" si="2"/>
        <v>7266</v>
      </c>
      <c r="AM5" s="81">
        <f t="shared" si="2"/>
        <v>6971</v>
      </c>
      <c r="AN5" s="81">
        <f t="shared" si="2"/>
        <v>6960</v>
      </c>
      <c r="AO5" s="81">
        <f t="shared" si="2"/>
        <v>7505</v>
      </c>
      <c r="AP5" s="81">
        <f t="shared" si="2"/>
        <v>7591</v>
      </c>
      <c r="AQ5" s="81">
        <f t="shared" si="2"/>
        <v>7430</v>
      </c>
      <c r="AR5" s="81">
        <f t="shared" si="2"/>
        <v>7248</v>
      </c>
      <c r="AS5" s="78" t="s">
        <v>64</v>
      </c>
      <c r="AW5" s="2"/>
      <c r="AX5" s="95"/>
    </row>
    <row r="6" spans="1:50" ht="15.75" x14ac:dyDescent="0.25">
      <c r="A6" s="72" t="s">
        <v>61</v>
      </c>
      <c r="B6" s="26">
        <v>17396</v>
      </c>
      <c r="C6" s="26">
        <v>17362</v>
      </c>
      <c r="D6" s="26">
        <v>16054</v>
      </c>
      <c r="E6" s="26">
        <v>13273</v>
      </c>
      <c r="F6" s="26">
        <v>12034</v>
      </c>
      <c r="G6" s="26">
        <v>11885</v>
      </c>
      <c r="H6" s="26">
        <v>12075</v>
      </c>
      <c r="I6" s="26">
        <v>11691</v>
      </c>
      <c r="J6" s="26">
        <v>10825</v>
      </c>
      <c r="K6" s="26">
        <v>10499</v>
      </c>
      <c r="L6" s="26">
        <v>13850</v>
      </c>
      <c r="M6" s="26">
        <v>14668</v>
      </c>
      <c r="N6" s="26">
        <v>14719</v>
      </c>
      <c r="O6" s="26">
        <v>14107</v>
      </c>
      <c r="P6" s="26">
        <v>12641</v>
      </c>
      <c r="Q6" s="26">
        <v>10104</v>
      </c>
      <c r="R6" s="26">
        <v>9259</v>
      </c>
      <c r="S6" s="26">
        <v>9230</v>
      </c>
      <c r="T6" s="26">
        <v>9411</v>
      </c>
      <c r="U6" s="26">
        <v>8913</v>
      </c>
      <c r="V6" s="26">
        <v>8203</v>
      </c>
      <c r="W6" s="26">
        <v>8091</v>
      </c>
      <c r="X6" s="26">
        <v>11565</v>
      </c>
      <c r="Y6" s="26">
        <v>12064</v>
      </c>
      <c r="Z6" s="26">
        <v>12599</v>
      </c>
      <c r="AA6" s="26">
        <v>12211</v>
      </c>
      <c r="AB6" s="26">
        <v>10957</v>
      </c>
      <c r="AC6" s="26">
        <v>8265</v>
      </c>
      <c r="AD6" s="26">
        <v>7054</v>
      </c>
      <c r="AE6" s="26">
        <v>7281</v>
      </c>
      <c r="AF6" s="26">
        <v>7717</v>
      </c>
      <c r="AG6" s="26">
        <v>7406</v>
      </c>
      <c r="AH6" s="26">
        <v>6631</v>
      </c>
      <c r="AI6" s="26">
        <v>6560</v>
      </c>
      <c r="AJ6" s="26">
        <v>9788</v>
      </c>
      <c r="AK6" s="26">
        <v>9985</v>
      </c>
      <c r="AL6" s="26">
        <v>10299</v>
      </c>
      <c r="AM6" s="26">
        <v>10092</v>
      </c>
      <c r="AN6" s="26">
        <v>10326</v>
      </c>
      <c r="AO6" s="26">
        <v>11083</v>
      </c>
      <c r="AP6" s="26">
        <v>11510</v>
      </c>
      <c r="AQ6" s="26">
        <v>11927</v>
      </c>
      <c r="AR6" s="26">
        <v>12085</v>
      </c>
      <c r="AS6" s="72" t="s">
        <v>61</v>
      </c>
      <c r="AW6" s="2"/>
      <c r="AX6" s="95"/>
    </row>
    <row r="7" spans="1:50" ht="15.75" x14ac:dyDescent="0.25">
      <c r="A7" s="72" t="s">
        <v>62</v>
      </c>
      <c r="B7" s="26">
        <v>4512</v>
      </c>
      <c r="C7" s="26">
        <v>4447</v>
      </c>
      <c r="D7" s="26">
        <v>4010</v>
      </c>
      <c r="E7" s="26">
        <v>3206</v>
      </c>
      <c r="F7" s="26">
        <v>2781</v>
      </c>
      <c r="G7" s="26">
        <v>2649</v>
      </c>
      <c r="H7" s="26">
        <v>2619</v>
      </c>
      <c r="I7" s="26">
        <v>2555</v>
      </c>
      <c r="J7" s="26">
        <v>2484</v>
      </c>
      <c r="K7" s="26">
        <v>2435</v>
      </c>
      <c r="L7" s="26">
        <v>3166</v>
      </c>
      <c r="M7" s="26">
        <v>3599</v>
      </c>
      <c r="N7" s="26">
        <v>3498</v>
      </c>
      <c r="O7" s="26">
        <v>3222</v>
      </c>
      <c r="P7" s="26">
        <v>2888</v>
      </c>
      <c r="Q7" s="26">
        <v>2255</v>
      </c>
      <c r="R7" s="26">
        <v>2018</v>
      </c>
      <c r="S7" s="26">
        <v>1945</v>
      </c>
      <c r="T7" s="26">
        <v>1903</v>
      </c>
      <c r="U7" s="26">
        <v>1857</v>
      </c>
      <c r="V7" s="26">
        <v>1813</v>
      </c>
      <c r="W7" s="26">
        <v>1814</v>
      </c>
      <c r="X7" s="26">
        <v>2516</v>
      </c>
      <c r="Y7" s="26">
        <v>2794</v>
      </c>
      <c r="Z7" s="26">
        <v>2938</v>
      </c>
      <c r="AA7" s="26">
        <v>2691</v>
      </c>
      <c r="AB7" s="26">
        <v>2462</v>
      </c>
      <c r="AC7" s="26">
        <v>1823</v>
      </c>
      <c r="AD7" s="26">
        <v>1549</v>
      </c>
      <c r="AE7" s="26">
        <v>1541</v>
      </c>
      <c r="AF7" s="26">
        <v>1553</v>
      </c>
      <c r="AG7" s="26">
        <v>1512</v>
      </c>
      <c r="AH7" s="26">
        <v>1465</v>
      </c>
      <c r="AI7" s="26">
        <v>1439</v>
      </c>
      <c r="AJ7" s="26">
        <v>2157</v>
      </c>
      <c r="AK7" s="26">
        <v>2238</v>
      </c>
      <c r="AL7" s="26">
        <v>2346</v>
      </c>
      <c r="AM7" s="26">
        <v>2299</v>
      </c>
      <c r="AN7" s="26">
        <v>2376</v>
      </c>
      <c r="AO7" s="26">
        <v>2547</v>
      </c>
      <c r="AP7" s="26">
        <v>2604</v>
      </c>
      <c r="AQ7" s="26">
        <v>2590</v>
      </c>
      <c r="AR7" s="26">
        <v>2490</v>
      </c>
      <c r="AS7" s="72" t="s">
        <v>62</v>
      </c>
      <c r="AW7" s="2"/>
      <c r="AX7" s="95"/>
    </row>
    <row r="8" spans="1:50" s="4" customFormat="1" ht="15.75" x14ac:dyDescent="0.25">
      <c r="A8" s="73" t="s">
        <v>63</v>
      </c>
      <c r="B8" s="81">
        <f t="shared" ref="B8:F8" si="3">SUM(B6:B7)</f>
        <v>21908</v>
      </c>
      <c r="C8" s="81">
        <f t="shared" si="3"/>
        <v>21809</v>
      </c>
      <c r="D8" s="81">
        <f t="shared" si="3"/>
        <v>20064</v>
      </c>
      <c r="E8" s="81">
        <f t="shared" si="3"/>
        <v>16479</v>
      </c>
      <c r="F8" s="81">
        <f t="shared" si="3"/>
        <v>14815</v>
      </c>
      <c r="G8" s="81">
        <f t="shared" ref="G8:AR8" si="4">G6+G7</f>
        <v>14534</v>
      </c>
      <c r="H8" s="81">
        <f t="shared" si="4"/>
        <v>14694</v>
      </c>
      <c r="I8" s="81">
        <f t="shared" si="4"/>
        <v>14246</v>
      </c>
      <c r="J8" s="81">
        <f t="shared" si="4"/>
        <v>13309</v>
      </c>
      <c r="K8" s="81">
        <f t="shared" si="4"/>
        <v>12934</v>
      </c>
      <c r="L8" s="81">
        <f t="shared" si="4"/>
        <v>17016</v>
      </c>
      <c r="M8" s="81">
        <f t="shared" si="4"/>
        <v>18267</v>
      </c>
      <c r="N8" s="81">
        <f t="shared" si="4"/>
        <v>18217</v>
      </c>
      <c r="O8" s="81">
        <f t="shared" si="4"/>
        <v>17329</v>
      </c>
      <c r="P8" s="81">
        <f t="shared" si="4"/>
        <v>15529</v>
      </c>
      <c r="Q8" s="81">
        <f t="shared" si="4"/>
        <v>12359</v>
      </c>
      <c r="R8" s="81">
        <f t="shared" si="4"/>
        <v>11277</v>
      </c>
      <c r="S8" s="81">
        <f t="shared" si="4"/>
        <v>11175</v>
      </c>
      <c r="T8" s="81">
        <f t="shared" si="4"/>
        <v>11314</v>
      </c>
      <c r="U8" s="81">
        <f t="shared" si="4"/>
        <v>10770</v>
      </c>
      <c r="V8" s="81">
        <f t="shared" si="4"/>
        <v>10016</v>
      </c>
      <c r="W8" s="81">
        <f t="shared" si="4"/>
        <v>9905</v>
      </c>
      <c r="X8" s="81">
        <f t="shared" si="4"/>
        <v>14081</v>
      </c>
      <c r="Y8" s="81">
        <f t="shared" si="4"/>
        <v>14858</v>
      </c>
      <c r="Z8" s="81">
        <f t="shared" si="4"/>
        <v>15537</v>
      </c>
      <c r="AA8" s="81">
        <f t="shared" si="4"/>
        <v>14902</v>
      </c>
      <c r="AB8" s="81">
        <f t="shared" si="4"/>
        <v>13419</v>
      </c>
      <c r="AC8" s="81">
        <f t="shared" si="4"/>
        <v>10088</v>
      </c>
      <c r="AD8" s="81">
        <f t="shared" si="4"/>
        <v>8603</v>
      </c>
      <c r="AE8" s="81">
        <f t="shared" si="4"/>
        <v>8822</v>
      </c>
      <c r="AF8" s="81">
        <f t="shared" si="4"/>
        <v>9270</v>
      </c>
      <c r="AG8" s="81">
        <f t="shared" si="4"/>
        <v>8918</v>
      </c>
      <c r="AH8" s="81">
        <f t="shared" si="4"/>
        <v>8096</v>
      </c>
      <c r="AI8" s="81">
        <f t="shared" si="4"/>
        <v>7999</v>
      </c>
      <c r="AJ8" s="81">
        <f t="shared" si="4"/>
        <v>11945</v>
      </c>
      <c r="AK8" s="81">
        <f t="shared" si="4"/>
        <v>12223</v>
      </c>
      <c r="AL8" s="81">
        <f t="shared" si="4"/>
        <v>12645</v>
      </c>
      <c r="AM8" s="81">
        <f t="shared" si="4"/>
        <v>12391</v>
      </c>
      <c r="AN8" s="81">
        <f t="shared" si="4"/>
        <v>12702</v>
      </c>
      <c r="AO8" s="81">
        <f t="shared" si="4"/>
        <v>13630</v>
      </c>
      <c r="AP8" s="81">
        <f t="shared" si="4"/>
        <v>14114</v>
      </c>
      <c r="AQ8" s="81">
        <f t="shared" si="4"/>
        <v>14517</v>
      </c>
      <c r="AR8" s="81">
        <f t="shared" si="4"/>
        <v>14575</v>
      </c>
      <c r="AS8" s="73" t="s">
        <v>63</v>
      </c>
      <c r="AW8" s="2"/>
      <c r="AX8" s="95"/>
    </row>
    <row r="9" spans="1:50" s="92" customFormat="1" ht="15.75" x14ac:dyDescent="0.25">
      <c r="A9" s="90" t="s">
        <v>66</v>
      </c>
      <c r="B9" s="91">
        <f>3228+7241</f>
        <v>10469</v>
      </c>
      <c r="C9" s="91">
        <f>3237+7055</f>
        <v>10292</v>
      </c>
      <c r="D9" s="91">
        <f>3141+6799</f>
        <v>9940</v>
      </c>
      <c r="E9" s="91">
        <f>2797+6276</f>
        <v>9073</v>
      </c>
      <c r="F9" s="91">
        <f>2665+6049</f>
        <v>8714</v>
      </c>
      <c r="G9" s="91">
        <f>2721+7213</f>
        <v>9934</v>
      </c>
      <c r="H9" s="91">
        <f>2833+8096</f>
        <v>10929</v>
      </c>
      <c r="I9" s="91">
        <f>2795+8113</f>
        <v>10908</v>
      </c>
      <c r="J9" s="91">
        <f>2530+6523</f>
        <v>9053</v>
      </c>
      <c r="K9" s="91">
        <f>2400+5478</f>
        <v>7878</v>
      </c>
      <c r="L9" s="91">
        <f>2672+5820</f>
        <v>8492</v>
      </c>
      <c r="M9" s="91">
        <f>2700+5781</f>
        <v>8481</v>
      </c>
      <c r="N9" s="91">
        <f>2762+5924</f>
        <v>8686</v>
      </c>
      <c r="O9" s="91">
        <f>2689+5650</f>
        <v>8339</v>
      </c>
      <c r="P9" s="91">
        <f>2520+5339</f>
        <v>7859</v>
      </c>
      <c r="Q9" s="91">
        <f>2271+4833</f>
        <v>7104</v>
      </c>
      <c r="R9" s="91">
        <f>2191+4643</f>
        <v>6834</v>
      </c>
      <c r="S9" s="91">
        <f>2242+5966</f>
        <v>8208</v>
      </c>
      <c r="T9" s="91">
        <f>2386+6870</f>
        <v>9256</v>
      </c>
      <c r="U9" s="91">
        <f>2321+6834</f>
        <v>9155</v>
      </c>
      <c r="V9" s="91">
        <f>2089+5473</f>
        <v>7562</v>
      </c>
      <c r="W9" s="91">
        <f>1978+4727</f>
        <v>6705</v>
      </c>
      <c r="X9" s="91">
        <f>2304+5069</f>
        <v>7373</v>
      </c>
      <c r="Y9" s="91">
        <f>2308+5024</f>
        <v>7332</v>
      </c>
      <c r="Z9" s="91">
        <f>2352+5100</f>
        <v>7452</v>
      </c>
      <c r="AA9" s="91">
        <f>4960+2343</f>
        <v>7303</v>
      </c>
      <c r="AB9" s="91">
        <f>2253+4678</f>
        <v>6931</v>
      </c>
      <c r="AC9" s="91">
        <f>4251+1909</f>
        <v>6160</v>
      </c>
      <c r="AD9" s="91">
        <f>1801+4095</f>
        <v>5896</v>
      </c>
      <c r="AE9" s="91">
        <f>1930+5301</f>
        <v>7231</v>
      </c>
      <c r="AF9" s="91">
        <f>2084+6327</f>
        <v>8411</v>
      </c>
      <c r="AG9" s="91">
        <f>2003+6207</f>
        <v>8210</v>
      </c>
      <c r="AH9" s="91">
        <f>1703+4412</f>
        <v>6115</v>
      </c>
      <c r="AI9" s="91">
        <f>1665+3840</f>
        <v>5505</v>
      </c>
      <c r="AJ9" s="91">
        <f>1977+4178</f>
        <v>6155</v>
      </c>
      <c r="AK9" s="91">
        <f>1972+4139</f>
        <v>6111</v>
      </c>
      <c r="AL9" s="91">
        <f>2046+4257</f>
        <v>6303</v>
      </c>
      <c r="AM9" s="91">
        <f>1989+4269</f>
        <v>6258</v>
      </c>
      <c r="AN9" s="91">
        <f>2074+4617</f>
        <v>6691</v>
      </c>
      <c r="AO9" s="91">
        <f>2285+5171</f>
        <v>7456</v>
      </c>
      <c r="AP9" s="91">
        <f>2374+5525</f>
        <v>7899</v>
      </c>
      <c r="AQ9" s="91">
        <f>2572+6639</f>
        <v>9211</v>
      </c>
      <c r="AR9" s="91">
        <f>2698+7792</f>
        <v>10490</v>
      </c>
      <c r="AS9" s="90" t="s">
        <v>66</v>
      </c>
      <c r="AW9" s="2"/>
      <c r="AX9" s="95"/>
    </row>
    <row r="10" spans="1:50" ht="15.75" x14ac:dyDescent="0.25">
      <c r="A10" s="2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W10" s="2"/>
      <c r="AX10" s="95"/>
    </row>
    <row r="11" spans="1:50" ht="15.75" x14ac:dyDescent="0.25">
      <c r="A11" s="74" t="s">
        <v>107</v>
      </c>
      <c r="B11" s="26">
        <f t="shared" ref="B11:F11" si="5">SUM(B5,B8:B9)</f>
        <v>42839</v>
      </c>
      <c r="C11" s="26">
        <f t="shared" si="5"/>
        <v>42326</v>
      </c>
      <c r="D11" s="26">
        <f t="shared" si="5"/>
        <v>39088</v>
      </c>
      <c r="E11" s="26">
        <f t="shared" si="5"/>
        <v>32804</v>
      </c>
      <c r="F11" s="26">
        <f t="shared" si="5"/>
        <v>29922</v>
      </c>
      <c r="G11" s="26">
        <f t="shared" ref="G11:AG11" si="6">G5+G8+G9</f>
        <v>30577</v>
      </c>
      <c r="H11" s="26">
        <f t="shared" si="6"/>
        <v>31670</v>
      </c>
      <c r="I11" s="26">
        <f t="shared" si="6"/>
        <v>31003</v>
      </c>
      <c r="J11" s="26">
        <f t="shared" si="6"/>
        <v>27952</v>
      </c>
      <c r="K11" s="26">
        <f t="shared" si="6"/>
        <v>26436</v>
      </c>
      <c r="L11" s="26">
        <f t="shared" si="6"/>
        <v>33780</v>
      </c>
      <c r="M11" s="26">
        <f t="shared" si="6"/>
        <v>35771</v>
      </c>
      <c r="N11" s="26">
        <f t="shared" si="6"/>
        <v>35989</v>
      </c>
      <c r="O11" s="26">
        <f t="shared" si="6"/>
        <v>34204</v>
      </c>
      <c r="P11" s="26">
        <f t="shared" si="6"/>
        <v>30616</v>
      </c>
      <c r="Q11" s="26">
        <f t="shared" si="6"/>
        <v>24903</v>
      </c>
      <c r="R11" s="26">
        <f t="shared" si="6"/>
        <v>22839</v>
      </c>
      <c r="S11" s="26">
        <f t="shared" si="6"/>
        <v>23808</v>
      </c>
      <c r="T11" s="26">
        <f t="shared" si="6"/>
        <v>24803</v>
      </c>
      <c r="U11" s="26">
        <f t="shared" si="6"/>
        <v>23866</v>
      </c>
      <c r="V11" s="26">
        <f t="shared" si="6"/>
        <v>21399</v>
      </c>
      <c r="W11" s="26">
        <f t="shared" si="6"/>
        <v>20447</v>
      </c>
      <c r="X11" s="26">
        <f t="shared" si="6"/>
        <v>28514</v>
      </c>
      <c r="Y11" s="26">
        <f t="shared" si="6"/>
        <v>29800</v>
      </c>
      <c r="Z11" s="26">
        <f t="shared" si="6"/>
        <v>30951</v>
      </c>
      <c r="AA11" s="26">
        <f t="shared" si="6"/>
        <v>29751</v>
      </c>
      <c r="AB11" s="26">
        <f t="shared" si="6"/>
        <v>26508</v>
      </c>
      <c r="AC11" s="26">
        <f t="shared" si="6"/>
        <v>20315</v>
      </c>
      <c r="AD11" s="26">
        <f t="shared" si="6"/>
        <v>17607</v>
      </c>
      <c r="AE11" s="26">
        <f t="shared" si="6"/>
        <v>18960</v>
      </c>
      <c r="AF11" s="26">
        <f t="shared" si="6"/>
        <v>20582</v>
      </c>
      <c r="AG11" s="26">
        <f t="shared" si="6"/>
        <v>19883</v>
      </c>
      <c r="AH11" s="26">
        <f t="shared" ref="AH11:AR11" si="7">AH5+AH8+AH9</f>
        <v>16968</v>
      </c>
      <c r="AI11" s="26">
        <f t="shared" si="7"/>
        <v>16544</v>
      </c>
      <c r="AJ11" s="26">
        <f t="shared" si="7"/>
        <v>24495</v>
      </c>
      <c r="AK11" s="26">
        <f t="shared" si="7"/>
        <v>25285</v>
      </c>
      <c r="AL11" s="26">
        <f t="shared" si="7"/>
        <v>26214</v>
      </c>
      <c r="AM11" s="26">
        <f t="shared" si="7"/>
        <v>25620</v>
      </c>
      <c r="AN11" s="26">
        <f t="shared" si="7"/>
        <v>26353</v>
      </c>
      <c r="AO11" s="26">
        <f t="shared" si="7"/>
        <v>28591</v>
      </c>
      <c r="AP11" s="26">
        <f t="shared" si="7"/>
        <v>29604</v>
      </c>
      <c r="AQ11" s="26">
        <f t="shared" si="7"/>
        <v>31158</v>
      </c>
      <c r="AR11" s="26">
        <f t="shared" si="7"/>
        <v>32313</v>
      </c>
      <c r="AW11" s="2"/>
      <c r="AX11" s="95"/>
    </row>
    <row r="12" spans="1:50" ht="15.75" x14ac:dyDescent="0.25">
      <c r="A12" s="23"/>
    </row>
    <row r="13" spans="1:50" ht="18" customHeight="1" x14ac:dyDescent="0.25">
      <c r="A13" s="23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1:50" ht="15.75" x14ac:dyDescent="0.25">
      <c r="A14" s="23"/>
      <c r="B14" s="53" t="s">
        <v>114</v>
      </c>
      <c r="M14" s="53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1:50" ht="15.75" x14ac:dyDescent="0.25">
      <c r="A15" s="23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</row>
    <row r="16" spans="1:50" ht="15.75" x14ac:dyDescent="0.25">
      <c r="A16" s="23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</row>
    <row r="17" spans="1:44" ht="15.75" x14ac:dyDescent="0.25">
      <c r="A17" s="23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</row>
    <row r="18" spans="1:44" ht="15.75" x14ac:dyDescent="0.25">
      <c r="A18" s="23"/>
    </row>
    <row r="19" spans="1:44" ht="15.75" x14ac:dyDescent="0.25">
      <c r="A19" s="23"/>
    </row>
    <row r="20" spans="1:44" ht="15.75" x14ac:dyDescent="0.25">
      <c r="A20" s="23"/>
    </row>
    <row r="21" spans="1:44" ht="15.75" x14ac:dyDescent="0.25">
      <c r="A21" s="23"/>
    </row>
    <row r="22" spans="1:44" ht="15.75" x14ac:dyDescent="0.25">
      <c r="A22" s="23"/>
    </row>
    <row r="23" spans="1:44" ht="15.75" x14ac:dyDescent="0.25">
      <c r="A23" s="23"/>
    </row>
    <row r="24" spans="1:44" ht="15.75" x14ac:dyDescent="0.25">
      <c r="A24" s="23"/>
    </row>
    <row r="25" spans="1:44" ht="15.75" x14ac:dyDescent="0.25">
      <c r="A25" s="23"/>
    </row>
    <row r="26" spans="1:44" ht="15.75" x14ac:dyDescent="0.25">
      <c r="A26" s="23"/>
    </row>
    <row r="27" spans="1:44" ht="15.75" x14ac:dyDescent="0.25">
      <c r="A27" s="23"/>
    </row>
    <row r="28" spans="1:44" ht="15.75" x14ac:dyDescent="0.25">
      <c r="A28" s="23"/>
    </row>
    <row r="29" spans="1:44" ht="15.75" x14ac:dyDescent="0.25">
      <c r="A29" s="23"/>
    </row>
    <row r="30" spans="1:44" ht="15.75" x14ac:dyDescent="0.25">
      <c r="A30" s="23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and gender </vt:lpstr>
      <vt:lpstr>επαρχία </vt:lpstr>
      <vt:lpstr>οικονομική </vt:lpstr>
      <vt:lpstr>επάγγελμα</vt:lpstr>
      <vt:lpstr>ηλικία </vt:lpstr>
      <vt:lpstr>διάρκεια </vt:lpstr>
      <vt:lpstr>υπηκοότητα </vt:lpstr>
      <vt:lpstr>μόρφωση</vt:lpstr>
      <vt:lpstr>Sheet1</vt:lpstr>
      <vt:lpstr>'διάρκεια '!Print_Area</vt:lpstr>
      <vt:lpstr>'ηλικία 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2017-11-01T12:14:47Z</cp:lastPrinted>
  <dcterms:created xsi:type="dcterms:W3CDTF">2011-08-31T07:37:26Z</dcterms:created>
  <dcterms:modified xsi:type="dcterms:W3CDTF">2020-08-07T06:56:34Z</dcterms:modified>
</cp:coreProperties>
</file>